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875" tabRatio="763" firstSheet="11" activeTab="14"/>
  </bookViews>
  <sheets>
    <sheet name="1-й день" sheetId="20" r:id="rId1"/>
    <sheet name="2-й день" sheetId="23" r:id="rId2"/>
    <sheet name="3-й день" sheetId="24" r:id="rId3"/>
    <sheet name="4-й день" sheetId="25" r:id="rId4"/>
    <sheet name="5-й день" sheetId="26" r:id="rId5"/>
    <sheet name="6-й день" sheetId="27" r:id="rId6"/>
    <sheet name="7-й день" sheetId="28" r:id="rId7"/>
    <sheet name="8-й день" sheetId="29" r:id="rId8"/>
    <sheet name="9-й день" sheetId="30" r:id="rId9"/>
    <sheet name="10-й день" sheetId="31" r:id="rId10"/>
    <sheet name="11-й день" sheetId="32" r:id="rId11"/>
    <sheet name="12-й день" sheetId="40" r:id="rId12"/>
    <sheet name="13-й день" sheetId="39" r:id="rId13"/>
    <sheet name="14-й день" sheetId="33" r:id="rId14"/>
    <sheet name="15-й день" sheetId="34" r:id="rId15"/>
    <sheet name="Салаты" sheetId="41" r:id="rId16"/>
    <sheet name="Супы" sheetId="42" r:id="rId17"/>
    <sheet name="Гарниры" sheetId="43" r:id="rId18"/>
    <sheet name="Вторые" sheetId="44" r:id="rId19"/>
    <sheet name="Выпечка" sheetId="45" r:id="rId20"/>
    <sheet name="Каши" sheetId="46" r:id="rId21"/>
    <sheet name="Напитки" sheetId="47" r:id="rId22"/>
    <sheet name="Бутерброды" sheetId="48" r:id="rId23"/>
  </sheets>
  <definedNames>
    <definedName name="_xlnm.Print_Area" localSheetId="9">'10-й день'!$A$1:$O$77</definedName>
    <definedName name="_xlnm.Print_Area" localSheetId="10">'11-й день'!$A$1:$O$59</definedName>
    <definedName name="_xlnm.Print_Area" localSheetId="0">'1-й день'!$A$1:$N$62</definedName>
    <definedName name="_xlnm.Print_Area" localSheetId="2">'3-й день'!$A$1:$O$63</definedName>
    <definedName name="_xlnm.Print_Area" localSheetId="5">'6-й день'!$A$1:$N$53</definedName>
  </definedNames>
  <calcPr calcId="125725"/>
</workbook>
</file>

<file path=xl/calcChain.xml><?xml version="1.0" encoding="utf-8"?>
<calcChain xmlns="http://schemas.openxmlformats.org/spreadsheetml/2006/main">
  <c r="M61" i="34"/>
  <c r="K61"/>
  <c r="J61"/>
  <c r="H61"/>
  <c r="K59"/>
  <c r="J59"/>
  <c r="I59"/>
  <c r="H59"/>
  <c r="M58"/>
  <c r="K58"/>
  <c r="J58"/>
  <c r="H58"/>
  <c r="K57"/>
  <c r="J57"/>
  <c r="I57"/>
  <c r="H57"/>
  <c r="K56"/>
  <c r="I56"/>
  <c r="K55"/>
  <c r="J55"/>
  <c r="I55"/>
  <c r="H55"/>
  <c r="M54"/>
  <c r="K54"/>
  <c r="J54"/>
  <c r="H54"/>
  <c r="M53"/>
  <c r="K53"/>
  <c r="J53"/>
  <c r="H53"/>
  <c r="M52"/>
  <c r="K52"/>
  <c r="J52"/>
  <c r="H52"/>
  <c r="K51"/>
  <c r="J51"/>
  <c r="I51"/>
  <c r="H51"/>
  <c r="K49"/>
  <c r="J49"/>
  <c r="H49"/>
  <c r="K48"/>
  <c r="J48"/>
  <c r="I48"/>
  <c r="H48"/>
  <c r="K47"/>
  <c r="J47"/>
  <c r="M46"/>
  <c r="K46"/>
  <c r="J46"/>
  <c r="H46"/>
  <c r="K44"/>
  <c r="J44"/>
  <c r="I44"/>
  <c r="H44"/>
  <c r="K43"/>
  <c r="J43"/>
  <c r="I43"/>
  <c r="H43"/>
  <c r="M42"/>
  <c r="J42"/>
  <c r="H42"/>
  <c r="M41"/>
  <c r="K41"/>
  <c r="J41"/>
  <c r="H41"/>
  <c r="K40"/>
  <c r="J40"/>
  <c r="I40"/>
  <c r="H40"/>
  <c r="M39"/>
  <c r="K39"/>
  <c r="J39"/>
  <c r="H39"/>
  <c r="M38"/>
  <c r="K38"/>
  <c r="J38"/>
  <c r="H38"/>
  <c r="K37"/>
  <c r="I37"/>
  <c r="K36"/>
  <c r="J36"/>
  <c r="I36"/>
  <c r="H36"/>
  <c r="K35"/>
  <c r="I35"/>
  <c r="H35"/>
  <c r="K33"/>
  <c r="I33"/>
  <c r="M32"/>
  <c r="K32"/>
  <c r="J32"/>
  <c r="I32"/>
  <c r="H32"/>
  <c r="K31"/>
  <c r="J31"/>
  <c r="I31"/>
  <c r="H31"/>
  <c r="M29"/>
  <c r="K29"/>
  <c r="J29"/>
  <c r="H29"/>
  <c r="K28"/>
  <c r="J28"/>
  <c r="M27"/>
  <c r="K27"/>
  <c r="J27"/>
  <c r="H27"/>
  <c r="K26"/>
  <c r="J26"/>
  <c r="I26"/>
  <c r="H26"/>
  <c r="K25"/>
  <c r="I25"/>
  <c r="K24"/>
  <c r="J24"/>
  <c r="I24"/>
  <c r="H24"/>
  <c r="M23"/>
  <c r="K23"/>
  <c r="J23"/>
  <c r="H23"/>
  <c r="M22"/>
  <c r="K22"/>
  <c r="J22"/>
  <c r="H22"/>
  <c r="M21"/>
  <c r="K21"/>
  <c r="J21"/>
  <c r="H21"/>
  <c r="M20"/>
  <c r="K20"/>
  <c r="J20"/>
  <c r="H20"/>
  <c r="M19"/>
  <c r="K19"/>
  <c r="J19"/>
  <c r="H19"/>
  <c r="H18"/>
  <c r="M16"/>
  <c r="K16"/>
  <c r="J16"/>
  <c r="I16"/>
  <c r="H16"/>
  <c r="M15"/>
  <c r="K15"/>
  <c r="J15"/>
  <c r="I15"/>
  <c r="H15"/>
  <c r="M14"/>
  <c r="K14"/>
  <c r="J14"/>
  <c r="H14"/>
  <c r="M12"/>
  <c r="K12"/>
  <c r="J12"/>
  <c r="I12"/>
  <c r="H12"/>
  <c r="K11"/>
  <c r="J11"/>
  <c r="I11"/>
  <c r="H11"/>
  <c r="K10"/>
  <c r="J10"/>
  <c r="I10"/>
  <c r="H10"/>
  <c r="M9"/>
  <c r="K9"/>
  <c r="J9"/>
  <c r="I9"/>
  <c r="H9"/>
  <c r="K8"/>
  <c r="J8"/>
  <c r="M7"/>
  <c r="K7"/>
  <c r="J7"/>
  <c r="I7"/>
  <c r="H7"/>
  <c r="M65" i="33"/>
  <c r="K65"/>
  <c r="J65"/>
  <c r="H65"/>
  <c r="K63"/>
  <c r="J63"/>
  <c r="I63"/>
  <c r="H63"/>
  <c r="K62"/>
  <c r="J62"/>
  <c r="I62"/>
  <c r="H62"/>
  <c r="K61"/>
  <c r="I61"/>
  <c r="K60"/>
  <c r="J60"/>
  <c r="I60"/>
  <c r="H60"/>
  <c r="M59"/>
  <c r="K59"/>
  <c r="J59"/>
  <c r="H59"/>
  <c r="M58"/>
  <c r="K58"/>
  <c r="J58"/>
  <c r="H58"/>
  <c r="M57"/>
  <c r="K57"/>
  <c r="J57"/>
  <c r="H57"/>
  <c r="M56"/>
  <c r="K56"/>
  <c r="J56"/>
  <c r="I56"/>
  <c r="H56"/>
  <c r="H55"/>
  <c r="M53"/>
  <c r="K53"/>
  <c r="J53"/>
  <c r="I53"/>
  <c r="H53"/>
  <c r="K52"/>
  <c r="J52"/>
  <c r="I52"/>
  <c r="H52"/>
  <c r="K51"/>
  <c r="J51"/>
  <c r="M50"/>
  <c r="K50"/>
  <c r="J50"/>
  <c r="H50"/>
  <c r="K48"/>
  <c r="J48"/>
  <c r="I48"/>
  <c r="H48"/>
  <c r="K47"/>
  <c r="I47"/>
  <c r="H47"/>
  <c r="M46"/>
  <c r="K46"/>
  <c r="J46"/>
  <c r="H46"/>
  <c r="M45"/>
  <c r="K45"/>
  <c r="J45"/>
  <c r="H45"/>
  <c r="M44"/>
  <c r="K44"/>
  <c r="J44"/>
  <c r="H44"/>
  <c r="K43"/>
  <c r="J43"/>
  <c r="I43"/>
  <c r="H43"/>
  <c r="K42"/>
  <c r="J42"/>
  <c r="I42"/>
  <c r="H42"/>
  <c r="K41"/>
  <c r="I41"/>
  <c r="K40"/>
  <c r="J40"/>
  <c r="I40"/>
  <c r="H40"/>
  <c r="K39"/>
  <c r="J39"/>
  <c r="I39"/>
  <c r="H39"/>
  <c r="M38"/>
  <c r="K38"/>
  <c r="J38"/>
  <c r="I38"/>
  <c r="H38"/>
  <c r="K36"/>
  <c r="J36"/>
  <c r="I36"/>
  <c r="H36"/>
  <c r="K35"/>
  <c r="I35"/>
  <c r="M34"/>
  <c r="K34"/>
  <c r="J34"/>
  <c r="I34"/>
  <c r="H34"/>
  <c r="M33"/>
  <c r="K33"/>
  <c r="J33"/>
  <c r="H33"/>
  <c r="M32"/>
  <c r="K32"/>
  <c r="J32"/>
  <c r="H32"/>
  <c r="M31"/>
  <c r="K31"/>
  <c r="J31"/>
  <c r="H31"/>
  <c r="K30"/>
  <c r="I30"/>
  <c r="H30"/>
  <c r="K29"/>
  <c r="J29"/>
  <c r="I29"/>
  <c r="H29"/>
  <c r="K27"/>
  <c r="I27"/>
  <c r="I26"/>
  <c r="K25"/>
  <c r="J25"/>
  <c r="I25"/>
  <c r="H25"/>
  <c r="K24"/>
  <c r="J24"/>
  <c r="H24"/>
  <c r="K23"/>
  <c r="J23"/>
  <c r="I23"/>
  <c r="H23"/>
  <c r="M22"/>
  <c r="K22"/>
  <c r="J22"/>
  <c r="H22"/>
  <c r="M21"/>
  <c r="K21"/>
  <c r="J21"/>
  <c r="H21"/>
  <c r="M20"/>
  <c r="K20"/>
  <c r="J20"/>
  <c r="H20"/>
  <c r="M17"/>
  <c r="K17"/>
  <c r="J17"/>
  <c r="H17"/>
  <c r="K16"/>
  <c r="J16"/>
  <c r="H16"/>
  <c r="K14"/>
  <c r="I14"/>
  <c r="H14"/>
  <c r="K13"/>
  <c r="J13"/>
  <c r="I13"/>
  <c r="H13"/>
  <c r="M12"/>
  <c r="K12"/>
  <c r="J12"/>
  <c r="I12"/>
  <c r="H12"/>
  <c r="K11"/>
  <c r="J11"/>
  <c r="M10"/>
  <c r="K10"/>
  <c r="J10"/>
  <c r="I10"/>
  <c r="H10"/>
  <c r="K9"/>
  <c r="J9"/>
  <c r="I9"/>
  <c r="H9"/>
  <c r="K8"/>
  <c r="J8"/>
  <c r="I8"/>
  <c r="H8"/>
  <c r="K7"/>
  <c r="J7"/>
  <c r="I7"/>
  <c r="H7"/>
  <c r="K17" i="32"/>
  <c r="J17"/>
  <c r="M16"/>
  <c r="K16"/>
  <c r="J16"/>
  <c r="K15"/>
  <c r="J15"/>
  <c r="I15"/>
  <c r="H15"/>
  <c r="K16" i="39"/>
  <c r="J16"/>
  <c r="M15"/>
  <c r="K15"/>
  <c r="J15"/>
  <c r="I15"/>
  <c r="H15"/>
  <c r="K14"/>
  <c r="J14"/>
  <c r="I14"/>
  <c r="H14"/>
  <c r="M59"/>
  <c r="K59"/>
  <c r="J59"/>
  <c r="H59"/>
  <c r="K57"/>
  <c r="J57"/>
  <c r="I57"/>
  <c r="H57"/>
  <c r="K56"/>
  <c r="I56"/>
  <c r="M55"/>
  <c r="K55"/>
  <c r="J55"/>
  <c r="I55"/>
  <c r="H55"/>
  <c r="K54"/>
  <c r="J54"/>
  <c r="I54"/>
  <c r="H54"/>
  <c r="M52"/>
  <c r="K52"/>
  <c r="J52"/>
  <c r="I52"/>
  <c r="H52"/>
  <c r="K51"/>
  <c r="J51"/>
  <c r="I51"/>
  <c r="H51"/>
  <c r="K49"/>
  <c r="J49"/>
  <c r="I49"/>
  <c r="H49"/>
  <c r="K48"/>
  <c r="J48"/>
  <c r="M47"/>
  <c r="K47"/>
  <c r="J47"/>
  <c r="H47"/>
  <c r="K45"/>
  <c r="J45"/>
  <c r="I45"/>
  <c r="H45"/>
  <c r="M44"/>
  <c r="K44"/>
  <c r="J44"/>
  <c r="H44"/>
  <c r="M43"/>
  <c r="K43"/>
  <c r="J43"/>
  <c r="H43"/>
  <c r="K42"/>
  <c r="J42"/>
  <c r="I42"/>
  <c r="H42"/>
  <c r="M41"/>
  <c r="K41"/>
  <c r="J41"/>
  <c r="H41"/>
  <c r="M40"/>
  <c r="K40"/>
  <c r="J40"/>
  <c r="H40"/>
  <c r="K39"/>
  <c r="I39"/>
  <c r="K38"/>
  <c r="J38"/>
  <c r="I38"/>
  <c r="H38"/>
  <c r="K36"/>
  <c r="J36"/>
  <c r="I36"/>
  <c r="H36"/>
  <c r="K35"/>
  <c r="I35"/>
  <c r="H35"/>
  <c r="K34"/>
  <c r="J34"/>
  <c r="I34"/>
  <c r="H34"/>
  <c r="K33"/>
  <c r="J33"/>
  <c r="I33"/>
  <c r="H33"/>
  <c r="M32"/>
  <c r="K32"/>
  <c r="J32"/>
  <c r="H32"/>
  <c r="M31"/>
  <c r="K31"/>
  <c r="J31"/>
  <c r="H31"/>
  <c r="K30"/>
  <c r="I30"/>
  <c r="K29"/>
  <c r="J29"/>
  <c r="I29"/>
  <c r="H29"/>
  <c r="K28"/>
  <c r="I28"/>
  <c r="H28"/>
  <c r="M26"/>
  <c r="K26"/>
  <c r="J26"/>
  <c r="H26"/>
  <c r="K25"/>
  <c r="J25"/>
  <c r="I25"/>
  <c r="H25"/>
  <c r="K24"/>
  <c r="I24"/>
  <c r="M23"/>
  <c r="K23"/>
  <c r="J23"/>
  <c r="I23"/>
  <c r="H23"/>
  <c r="M22"/>
  <c r="K22"/>
  <c r="J22"/>
  <c r="H22"/>
  <c r="M21"/>
  <c r="K21"/>
  <c r="J21"/>
  <c r="H21"/>
  <c r="M20"/>
  <c r="K20"/>
  <c r="J20"/>
  <c r="H20"/>
  <c r="M19"/>
  <c r="K19"/>
  <c r="J19"/>
  <c r="H19"/>
  <c r="K18"/>
  <c r="I18"/>
  <c r="H18"/>
  <c r="M12"/>
  <c r="K12"/>
  <c r="J12"/>
  <c r="I12"/>
  <c r="H12"/>
  <c r="K11"/>
  <c r="J11"/>
  <c r="I11"/>
  <c r="H11"/>
  <c r="M10"/>
  <c r="K10"/>
  <c r="J10"/>
  <c r="I10"/>
  <c r="H10"/>
  <c r="K9"/>
  <c r="J9"/>
  <c r="M8"/>
  <c r="K8"/>
  <c r="J8"/>
  <c r="I8"/>
  <c r="H8"/>
  <c r="K7"/>
  <c r="J7"/>
  <c r="I7"/>
  <c r="H7"/>
  <c r="M62" i="40"/>
  <c r="K62"/>
  <c r="J62"/>
  <c r="H62"/>
  <c r="K60"/>
  <c r="J60"/>
  <c r="I60"/>
  <c r="H60"/>
  <c r="K59"/>
  <c r="J59"/>
  <c r="K58"/>
  <c r="J58"/>
  <c r="I58"/>
  <c r="H58"/>
  <c r="M57"/>
  <c r="K57"/>
  <c r="J57"/>
  <c r="I57"/>
  <c r="H57"/>
  <c r="K55"/>
  <c r="I55"/>
  <c r="K54"/>
  <c r="J54"/>
  <c r="I54"/>
  <c r="H54"/>
  <c r="K53"/>
  <c r="J53"/>
  <c r="K52"/>
  <c r="J52"/>
  <c r="I52"/>
  <c r="H52"/>
  <c r="K51"/>
  <c r="J51"/>
  <c r="I51"/>
  <c r="H51"/>
  <c r="M50"/>
  <c r="K50"/>
  <c r="J50"/>
  <c r="I50"/>
  <c r="H50"/>
  <c r="M48"/>
  <c r="K48"/>
  <c r="J48"/>
  <c r="I48"/>
  <c r="H48"/>
  <c r="M47"/>
  <c r="K47"/>
  <c r="J47"/>
  <c r="H47"/>
  <c r="K44"/>
  <c r="J44"/>
  <c r="M43"/>
  <c r="K43"/>
  <c r="J43"/>
  <c r="H43"/>
  <c r="K41"/>
  <c r="J41"/>
  <c r="I41"/>
  <c r="H41"/>
  <c r="K40"/>
  <c r="J40"/>
  <c r="H40"/>
  <c r="K39"/>
  <c r="J39"/>
  <c r="H39"/>
  <c r="M38"/>
  <c r="K38"/>
  <c r="J38"/>
  <c r="H38"/>
  <c r="K37"/>
  <c r="I37"/>
  <c r="H37"/>
  <c r="M36"/>
  <c r="K36"/>
  <c r="J36"/>
  <c r="H36"/>
  <c r="M35"/>
  <c r="K35"/>
  <c r="J35"/>
  <c r="H35"/>
  <c r="M34"/>
  <c r="K34"/>
  <c r="J34"/>
  <c r="H34"/>
  <c r="M33"/>
  <c r="K33"/>
  <c r="J33"/>
  <c r="I33"/>
  <c r="H33"/>
  <c r="K32"/>
  <c r="I32"/>
  <c r="M31"/>
  <c r="K31"/>
  <c r="J31"/>
  <c r="H31"/>
  <c r="M30"/>
  <c r="K30"/>
  <c r="J30"/>
  <c r="H30"/>
  <c r="M28"/>
  <c r="K28"/>
  <c r="J28"/>
  <c r="H28"/>
  <c r="M27"/>
  <c r="K27"/>
  <c r="J27"/>
  <c r="H27"/>
  <c r="K26"/>
  <c r="J26"/>
  <c r="I26"/>
  <c r="H26"/>
  <c r="K25"/>
  <c r="I25"/>
  <c r="K24"/>
  <c r="J24"/>
  <c r="I24"/>
  <c r="H24"/>
  <c r="M23"/>
  <c r="K23"/>
  <c r="J23"/>
  <c r="H23"/>
  <c r="M22"/>
  <c r="K22"/>
  <c r="J22"/>
  <c r="H22"/>
  <c r="M21"/>
  <c r="K21"/>
  <c r="J21"/>
  <c r="H21"/>
  <c r="M20"/>
  <c r="K20"/>
  <c r="J20"/>
  <c r="H20"/>
  <c r="H19"/>
  <c r="K17"/>
  <c r="J17"/>
  <c r="M16"/>
  <c r="K16"/>
  <c r="J16"/>
  <c r="H16"/>
  <c r="M15"/>
  <c r="K15"/>
  <c r="J15"/>
  <c r="H15"/>
  <c r="K13"/>
  <c r="J13"/>
  <c r="H13"/>
  <c r="K12"/>
  <c r="J12"/>
  <c r="I12"/>
  <c r="H12"/>
  <c r="M11"/>
  <c r="K11"/>
  <c r="J11"/>
  <c r="I11"/>
  <c r="H11"/>
  <c r="K10"/>
  <c r="J10"/>
  <c r="M9"/>
  <c r="K9"/>
  <c r="J9"/>
  <c r="I9"/>
  <c r="H9"/>
  <c r="K8"/>
  <c r="J8"/>
  <c r="I8"/>
  <c r="H8"/>
  <c r="K7"/>
  <c r="J7"/>
  <c r="I7"/>
  <c r="H7"/>
  <c r="M57" i="32"/>
  <c r="K57"/>
  <c r="J57"/>
  <c r="H57"/>
  <c r="K55"/>
  <c r="J55"/>
  <c r="I55"/>
  <c r="H55"/>
  <c r="K13"/>
  <c r="J13"/>
  <c r="I13"/>
  <c r="H13"/>
  <c r="M54"/>
  <c r="K54"/>
  <c r="J54"/>
  <c r="I54"/>
  <c r="H54"/>
  <c r="K53"/>
  <c r="J53"/>
  <c r="I53"/>
  <c r="H53"/>
  <c r="K52"/>
  <c r="J52"/>
  <c r="I52"/>
  <c r="H52"/>
  <c r="K50"/>
  <c r="J50"/>
  <c r="K49"/>
  <c r="J49"/>
  <c r="H49"/>
  <c r="K47"/>
  <c r="J47"/>
  <c r="I47"/>
  <c r="H47"/>
  <c r="K46"/>
  <c r="J46"/>
  <c r="M45"/>
  <c r="K45"/>
  <c r="J45"/>
  <c r="H45"/>
  <c r="K43"/>
  <c r="J43"/>
  <c r="I43"/>
  <c r="H43"/>
  <c r="M42"/>
  <c r="K42"/>
  <c r="J42"/>
  <c r="H42"/>
  <c r="M41"/>
  <c r="K41"/>
  <c r="J41"/>
  <c r="H41"/>
  <c r="K40"/>
  <c r="J40"/>
  <c r="I40"/>
  <c r="H40"/>
  <c r="M39"/>
  <c r="K39"/>
  <c r="J39"/>
  <c r="H39"/>
  <c r="M38"/>
  <c r="K38"/>
  <c r="J38"/>
  <c r="H38"/>
  <c r="K37"/>
  <c r="I37"/>
  <c r="K36"/>
  <c r="J36"/>
  <c r="I36"/>
  <c r="H36"/>
  <c r="M34"/>
  <c r="K34"/>
  <c r="J34"/>
  <c r="I34"/>
  <c r="H34"/>
  <c r="K33"/>
  <c r="J33"/>
  <c r="I33"/>
  <c r="H33"/>
  <c r="H32"/>
  <c r="M30"/>
  <c r="K30"/>
  <c r="J30"/>
  <c r="I30"/>
  <c r="H30"/>
  <c r="K29"/>
  <c r="J29"/>
  <c r="I29"/>
  <c r="H29"/>
  <c r="K27"/>
  <c r="J27"/>
  <c r="I27"/>
  <c r="H27"/>
  <c r="K26"/>
  <c r="J26"/>
  <c r="I26"/>
  <c r="H26"/>
  <c r="K25"/>
  <c r="J25"/>
  <c r="I25"/>
  <c r="H25"/>
  <c r="K24"/>
  <c r="I24"/>
  <c r="M23"/>
  <c r="K23"/>
  <c r="J23"/>
  <c r="I23"/>
  <c r="H23"/>
  <c r="M22"/>
  <c r="K22"/>
  <c r="J22"/>
  <c r="H22"/>
  <c r="M21"/>
  <c r="K21"/>
  <c r="J21"/>
  <c r="H21"/>
  <c r="M20"/>
  <c r="K20"/>
  <c r="J20"/>
  <c r="H20"/>
  <c r="K19"/>
  <c r="I19"/>
  <c r="H19"/>
  <c r="M11"/>
  <c r="K11"/>
  <c r="J11"/>
  <c r="I11"/>
  <c r="H11"/>
  <c r="K10"/>
  <c r="J10"/>
  <c r="M9"/>
  <c r="K9"/>
  <c r="J9"/>
  <c r="I9"/>
  <c r="H9"/>
  <c r="K8"/>
  <c r="J8"/>
  <c r="I8"/>
  <c r="H8"/>
  <c r="J226" i="42"/>
  <c r="I226"/>
  <c r="H226"/>
  <c r="G226"/>
  <c r="J225"/>
  <c r="I225"/>
  <c r="H225"/>
  <c r="G225"/>
  <c r="J224"/>
  <c r="H224"/>
  <c r="L223"/>
  <c r="J223"/>
  <c r="I223"/>
  <c r="H223"/>
  <c r="G223"/>
  <c r="L222"/>
  <c r="J222"/>
  <c r="I222"/>
  <c r="G222"/>
  <c r="L221"/>
  <c r="J221"/>
  <c r="I221"/>
  <c r="G221"/>
  <c r="L220"/>
  <c r="J220"/>
  <c r="I220"/>
  <c r="G220"/>
  <c r="J219"/>
  <c r="H219"/>
  <c r="G219"/>
  <c r="K71" i="31"/>
  <c r="J71"/>
  <c r="I71"/>
  <c r="H71"/>
  <c r="K72"/>
  <c r="J72"/>
  <c r="I72"/>
  <c r="H72"/>
  <c r="K70"/>
  <c r="I70"/>
  <c r="M69"/>
  <c r="K69"/>
  <c r="J69"/>
  <c r="I69"/>
  <c r="H69"/>
  <c r="M68"/>
  <c r="K68"/>
  <c r="J68"/>
  <c r="H68"/>
  <c r="M67"/>
  <c r="K67"/>
  <c r="J67"/>
  <c r="H67"/>
  <c r="M66"/>
  <c r="K66"/>
  <c r="J66"/>
  <c r="H66"/>
  <c r="K65"/>
  <c r="I65"/>
  <c r="H65"/>
  <c r="M50"/>
  <c r="K50"/>
  <c r="J50"/>
  <c r="H50"/>
  <c r="M49"/>
  <c r="K49"/>
  <c r="J49"/>
  <c r="H49"/>
  <c r="K48"/>
  <c r="J48"/>
  <c r="I48"/>
  <c r="H48"/>
  <c r="M47"/>
  <c r="K47"/>
  <c r="J47"/>
  <c r="H47"/>
  <c r="M46"/>
  <c r="K46"/>
  <c r="J46"/>
  <c r="H46"/>
  <c r="K45"/>
  <c r="I45"/>
  <c r="K44"/>
  <c r="J44"/>
  <c r="I44"/>
  <c r="H44"/>
  <c r="K42"/>
  <c r="I42"/>
  <c r="K41"/>
  <c r="J41"/>
  <c r="I41"/>
  <c r="H41"/>
  <c r="M40"/>
  <c r="K40"/>
  <c r="J40"/>
  <c r="H40"/>
  <c r="M39"/>
  <c r="K39"/>
  <c r="J39"/>
  <c r="H39"/>
  <c r="K38"/>
  <c r="J38"/>
  <c r="I38"/>
  <c r="H38"/>
  <c r="M37"/>
  <c r="K37"/>
  <c r="J37"/>
  <c r="H37"/>
  <c r="K36"/>
  <c r="I36"/>
  <c r="H36"/>
  <c r="K34"/>
  <c r="J34"/>
  <c r="I34"/>
  <c r="H34"/>
  <c r="K33"/>
  <c r="J33"/>
  <c r="I33"/>
  <c r="H33"/>
  <c r="K32"/>
  <c r="I32"/>
  <c r="M31"/>
  <c r="K31"/>
  <c r="J31"/>
  <c r="I31"/>
  <c r="H31"/>
  <c r="M30"/>
  <c r="K30"/>
  <c r="J30"/>
  <c r="H30"/>
  <c r="M29"/>
  <c r="K29"/>
  <c r="J29"/>
  <c r="H29"/>
  <c r="M28"/>
  <c r="K28"/>
  <c r="J28"/>
  <c r="H28"/>
  <c r="K27"/>
  <c r="I27"/>
  <c r="H27"/>
  <c r="M24"/>
  <c r="K24"/>
  <c r="J24"/>
  <c r="H24"/>
  <c r="I23"/>
  <c r="I21"/>
  <c r="M20"/>
  <c r="K20"/>
  <c r="J20"/>
  <c r="H20"/>
  <c r="M19"/>
  <c r="K19"/>
  <c r="J19"/>
  <c r="H19"/>
  <c r="K16"/>
  <c r="J16"/>
  <c r="M15"/>
  <c r="K15"/>
  <c r="J15"/>
  <c r="I15"/>
  <c r="H15"/>
  <c r="K14"/>
  <c r="J14"/>
  <c r="I14"/>
  <c r="H14"/>
  <c r="K10"/>
  <c r="J10"/>
  <c r="I10"/>
  <c r="H10"/>
  <c r="M9"/>
  <c r="K9"/>
  <c r="J9"/>
  <c r="I9"/>
  <c r="H9"/>
  <c r="K8"/>
  <c r="J8"/>
  <c r="M7"/>
  <c r="K7"/>
  <c r="J7"/>
  <c r="I7"/>
  <c r="H7"/>
  <c r="M59" i="30"/>
  <c r="K59"/>
  <c r="J59"/>
  <c r="K58"/>
  <c r="J58"/>
  <c r="M57"/>
  <c r="K57"/>
  <c r="J57"/>
  <c r="I57"/>
  <c r="H57"/>
  <c r="K56"/>
  <c r="J56"/>
  <c r="I56"/>
  <c r="H56"/>
  <c r="M54"/>
  <c r="K54"/>
  <c r="J54"/>
  <c r="I54"/>
  <c r="H54"/>
  <c r="K53"/>
  <c r="J53"/>
  <c r="I53"/>
  <c r="H53"/>
  <c r="K50"/>
  <c r="J50"/>
  <c r="M49"/>
  <c r="K49"/>
  <c r="J49"/>
  <c r="H49"/>
  <c r="K47"/>
  <c r="J47"/>
  <c r="I47"/>
  <c r="H47"/>
  <c r="K46"/>
  <c r="J46"/>
  <c r="I46"/>
  <c r="H46"/>
  <c r="M45"/>
  <c r="J45"/>
  <c r="H45"/>
  <c r="M44"/>
  <c r="K44"/>
  <c r="J44"/>
  <c r="H44"/>
  <c r="K43"/>
  <c r="J43"/>
  <c r="I43"/>
  <c r="H43"/>
  <c r="M42"/>
  <c r="K42"/>
  <c r="J42"/>
  <c r="H42"/>
  <c r="M41"/>
  <c r="K41"/>
  <c r="J41"/>
  <c r="H41"/>
  <c r="K40"/>
  <c r="I40"/>
  <c r="K39"/>
  <c r="J39"/>
  <c r="I39"/>
  <c r="H39"/>
  <c r="K38"/>
  <c r="I38"/>
  <c r="H38"/>
  <c r="M35"/>
  <c r="K35"/>
  <c r="J35"/>
  <c r="I35"/>
  <c r="H35"/>
  <c r="K34"/>
  <c r="J34"/>
  <c r="I34"/>
  <c r="H34"/>
  <c r="M32"/>
  <c r="K32"/>
  <c r="J32"/>
  <c r="H32"/>
  <c r="K31"/>
  <c r="J31"/>
  <c r="I31"/>
  <c r="H31"/>
  <c r="K30"/>
  <c r="I30"/>
  <c r="K29"/>
  <c r="J29"/>
  <c r="I29"/>
  <c r="H29"/>
  <c r="M28"/>
  <c r="K28"/>
  <c r="J28"/>
  <c r="H28"/>
  <c r="M27"/>
  <c r="K27"/>
  <c r="J27"/>
  <c r="H27"/>
  <c r="M26"/>
  <c r="K26"/>
  <c r="J26"/>
  <c r="H26"/>
  <c r="H25"/>
  <c r="K23"/>
  <c r="I23"/>
  <c r="M22"/>
  <c r="K22"/>
  <c r="J22"/>
  <c r="H22"/>
  <c r="M21"/>
  <c r="K21"/>
  <c r="J21"/>
  <c r="H21"/>
  <c r="K20"/>
  <c r="J20"/>
  <c r="I20"/>
  <c r="H20"/>
  <c r="K19"/>
  <c r="J19"/>
  <c r="H19"/>
  <c r="M16"/>
  <c r="K16"/>
  <c r="J16"/>
  <c r="H16"/>
  <c r="K15"/>
  <c r="J15"/>
  <c r="H15"/>
  <c r="K13"/>
  <c r="I13"/>
  <c r="H13"/>
  <c r="K12"/>
  <c r="J12"/>
  <c r="I12"/>
  <c r="H12"/>
  <c r="M11"/>
  <c r="K11"/>
  <c r="J11"/>
  <c r="I11"/>
  <c r="H11"/>
  <c r="K10"/>
  <c r="J10"/>
  <c r="M9"/>
  <c r="K9"/>
  <c r="J9"/>
  <c r="I9"/>
  <c r="H9"/>
  <c r="K8"/>
  <c r="J8"/>
  <c r="I8"/>
  <c r="H8"/>
  <c r="K7"/>
  <c r="J7"/>
  <c r="I7"/>
  <c r="H7"/>
  <c r="M65" i="29"/>
  <c r="K65"/>
  <c r="J65"/>
  <c r="H65"/>
  <c r="M64"/>
  <c r="K64"/>
  <c r="J64"/>
  <c r="H64"/>
  <c r="K63"/>
  <c r="I63"/>
  <c r="K62"/>
  <c r="J62"/>
  <c r="I62"/>
  <c r="H62"/>
  <c r="M61"/>
  <c r="K61"/>
  <c r="J61"/>
  <c r="H61"/>
  <c r="M60"/>
  <c r="K60"/>
  <c r="J60"/>
  <c r="H60"/>
  <c r="K59"/>
  <c r="I59"/>
  <c r="H59"/>
  <c r="M58"/>
  <c r="K58"/>
  <c r="J58"/>
  <c r="H58"/>
  <c r="K56"/>
  <c r="J56"/>
  <c r="K55"/>
  <c r="J55"/>
  <c r="H55"/>
  <c r="K48"/>
  <c r="J48"/>
  <c r="I48"/>
  <c r="H48"/>
  <c r="K47"/>
  <c r="I47"/>
  <c r="H47"/>
  <c r="M46"/>
  <c r="K46"/>
  <c r="J46"/>
  <c r="H46"/>
  <c r="M45"/>
  <c r="K45"/>
  <c r="J45"/>
  <c r="H45"/>
  <c r="K44"/>
  <c r="I44"/>
  <c r="H44"/>
  <c r="K43"/>
  <c r="J43"/>
  <c r="I43"/>
  <c r="H43"/>
  <c r="K42"/>
  <c r="J42"/>
  <c r="I42"/>
  <c r="H42"/>
  <c r="K41"/>
  <c r="I41"/>
  <c r="K40"/>
  <c r="J40"/>
  <c r="I40"/>
  <c r="H40"/>
  <c r="K39"/>
  <c r="J39"/>
  <c r="I39"/>
  <c r="H39"/>
  <c r="M38"/>
  <c r="K38"/>
  <c r="J38"/>
  <c r="I38"/>
  <c r="H38"/>
  <c r="M36"/>
  <c r="K36"/>
  <c r="J36"/>
  <c r="H36"/>
  <c r="I35"/>
  <c r="K34"/>
  <c r="J34"/>
  <c r="I34"/>
  <c r="H34"/>
  <c r="K33"/>
  <c r="I33"/>
  <c r="M32"/>
  <c r="K32"/>
  <c r="J32"/>
  <c r="I32"/>
  <c r="H32"/>
  <c r="M31"/>
  <c r="K31"/>
  <c r="J31"/>
  <c r="H31"/>
  <c r="M30"/>
  <c r="K30"/>
  <c r="J30"/>
  <c r="H30"/>
  <c r="M29"/>
  <c r="K29"/>
  <c r="J29"/>
  <c r="H29"/>
  <c r="K28"/>
  <c r="I28"/>
  <c r="H28"/>
  <c r="K27"/>
  <c r="J27"/>
  <c r="I27"/>
  <c r="H27"/>
  <c r="K25"/>
  <c r="I25"/>
  <c r="I24"/>
  <c r="K23"/>
  <c r="J23"/>
  <c r="I23"/>
  <c r="H23"/>
  <c r="K22"/>
  <c r="J22"/>
  <c r="H22"/>
  <c r="K21"/>
  <c r="J21"/>
  <c r="I21"/>
  <c r="H21"/>
  <c r="M20"/>
  <c r="K20"/>
  <c r="J20"/>
  <c r="H20"/>
  <c r="M19"/>
  <c r="K19"/>
  <c r="J19"/>
  <c r="H19"/>
  <c r="M18"/>
  <c r="K18"/>
  <c r="J18"/>
  <c r="H18"/>
  <c r="K16"/>
  <c r="J16"/>
  <c r="M15"/>
  <c r="K15"/>
  <c r="J15"/>
  <c r="K14"/>
  <c r="J14"/>
  <c r="I14"/>
  <c r="H14"/>
  <c r="K12"/>
  <c r="J12"/>
  <c r="I12"/>
  <c r="H12"/>
  <c r="K11"/>
  <c r="J11"/>
  <c r="I11"/>
  <c r="H11"/>
  <c r="M10"/>
  <c r="K10"/>
  <c r="J10"/>
  <c r="I10"/>
  <c r="H10"/>
  <c r="K9"/>
  <c r="J9"/>
  <c r="M8"/>
  <c r="K8"/>
  <c r="J8"/>
  <c r="I8"/>
  <c r="H8"/>
  <c r="K7"/>
  <c r="J7"/>
  <c r="I7"/>
  <c r="H7"/>
  <c r="K42" i="28"/>
  <c r="J42"/>
  <c r="I42"/>
  <c r="H42"/>
  <c r="M41"/>
  <c r="K41"/>
  <c r="J41"/>
  <c r="H41"/>
  <c r="M40"/>
  <c r="K40"/>
  <c r="J40"/>
  <c r="H40"/>
  <c r="K39"/>
  <c r="J39"/>
  <c r="I39"/>
  <c r="H39"/>
  <c r="M38"/>
  <c r="K38"/>
  <c r="J38"/>
  <c r="H38"/>
  <c r="M37"/>
  <c r="K37"/>
  <c r="J37"/>
  <c r="H37"/>
  <c r="K36"/>
  <c r="I36"/>
  <c r="K35"/>
  <c r="J35"/>
  <c r="I35"/>
  <c r="H35"/>
  <c r="K33"/>
  <c r="J33"/>
  <c r="I33"/>
  <c r="H33"/>
  <c r="K32"/>
  <c r="I32"/>
  <c r="H32"/>
  <c r="K30"/>
  <c r="I30"/>
  <c r="M29"/>
  <c r="K29"/>
  <c r="J29"/>
  <c r="I29"/>
  <c r="H29"/>
  <c r="K28"/>
  <c r="J28"/>
  <c r="I28"/>
  <c r="H28"/>
  <c r="M26"/>
  <c r="K26"/>
  <c r="J26"/>
  <c r="H26"/>
  <c r="M25"/>
  <c r="K25"/>
  <c r="J25"/>
  <c r="H25"/>
  <c r="K24"/>
  <c r="J24"/>
  <c r="I24"/>
  <c r="H24"/>
  <c r="K23"/>
  <c r="I23"/>
  <c r="K22"/>
  <c r="J22"/>
  <c r="I22"/>
  <c r="H22"/>
  <c r="M21"/>
  <c r="K21"/>
  <c r="J21"/>
  <c r="H21"/>
  <c r="M20"/>
  <c r="K20"/>
  <c r="J20"/>
  <c r="H20"/>
  <c r="M19"/>
  <c r="K19"/>
  <c r="J19"/>
  <c r="H19"/>
  <c r="M18"/>
  <c r="K18"/>
  <c r="J18"/>
  <c r="H18"/>
  <c r="H17"/>
  <c r="M10"/>
  <c r="K10"/>
  <c r="J10"/>
  <c r="K9"/>
  <c r="J9"/>
  <c r="M8"/>
  <c r="K8"/>
  <c r="J8"/>
  <c r="I8"/>
  <c r="H8"/>
  <c r="K7"/>
  <c r="J7"/>
  <c r="I7"/>
  <c r="H7"/>
  <c r="M48" i="27"/>
  <c r="K48"/>
  <c r="J48"/>
  <c r="H48"/>
  <c r="K47"/>
  <c r="J47"/>
  <c r="I47"/>
  <c r="H47"/>
  <c r="K46"/>
  <c r="I46"/>
  <c r="K45"/>
  <c r="J45"/>
  <c r="I45"/>
  <c r="H45"/>
  <c r="M44"/>
  <c r="K44"/>
  <c r="J44"/>
  <c r="H44"/>
  <c r="M43"/>
  <c r="K43"/>
  <c r="J43"/>
  <c r="H43"/>
  <c r="M42"/>
  <c r="K42"/>
  <c r="J42"/>
  <c r="H42"/>
  <c r="K41"/>
  <c r="J41"/>
  <c r="I41"/>
  <c r="H41"/>
  <c r="K38"/>
  <c r="J38"/>
  <c r="I38"/>
  <c r="H38"/>
  <c r="M33"/>
  <c r="K33"/>
  <c r="J33"/>
  <c r="I33"/>
  <c r="H33"/>
  <c r="M32"/>
  <c r="K32"/>
  <c r="J32"/>
  <c r="H32"/>
  <c r="K31"/>
  <c r="J31"/>
  <c r="I31"/>
  <c r="H31"/>
  <c r="K30"/>
  <c r="J30"/>
  <c r="I30"/>
  <c r="H30"/>
  <c r="K29"/>
  <c r="I29"/>
  <c r="H29"/>
  <c r="M27"/>
  <c r="K27"/>
  <c r="J27"/>
  <c r="I27"/>
  <c r="H27"/>
  <c r="M26"/>
  <c r="K26"/>
  <c r="J26"/>
  <c r="I26"/>
  <c r="H26"/>
  <c r="M12"/>
  <c r="K12"/>
  <c r="J12"/>
  <c r="I12"/>
  <c r="H12"/>
  <c r="K11"/>
  <c r="J11"/>
  <c r="I11"/>
  <c r="H11"/>
  <c r="K54" i="26"/>
  <c r="J54"/>
  <c r="I54"/>
  <c r="H54"/>
  <c r="K53"/>
  <c r="J53"/>
  <c r="I53"/>
  <c r="H53"/>
  <c r="K52"/>
  <c r="I52"/>
  <c r="K51"/>
  <c r="J51"/>
  <c r="I51"/>
  <c r="H51"/>
  <c r="M50"/>
  <c r="K50"/>
  <c r="J50"/>
  <c r="H50"/>
  <c r="M49"/>
  <c r="K49"/>
  <c r="J49"/>
  <c r="H49"/>
  <c r="M48"/>
  <c r="K48"/>
  <c r="J48"/>
  <c r="H48"/>
  <c r="M47"/>
  <c r="K47"/>
  <c r="J47"/>
  <c r="I47"/>
  <c r="H47"/>
  <c r="H46"/>
  <c r="K43"/>
  <c r="J43"/>
  <c r="I43"/>
  <c r="H43"/>
  <c r="K38"/>
  <c r="I38"/>
  <c r="M37"/>
  <c r="K37"/>
  <c r="J37"/>
  <c r="H37"/>
  <c r="M36"/>
  <c r="K36"/>
  <c r="J36"/>
  <c r="H36"/>
  <c r="K35"/>
  <c r="I35"/>
  <c r="H35"/>
  <c r="M34"/>
  <c r="K34"/>
  <c r="J34"/>
  <c r="I34"/>
  <c r="H34"/>
  <c r="K33"/>
  <c r="J33"/>
  <c r="I33"/>
  <c r="H33"/>
  <c r="K30"/>
  <c r="J30"/>
  <c r="I30"/>
  <c r="H30"/>
  <c r="K29"/>
  <c r="J29"/>
  <c r="I29"/>
  <c r="H29"/>
  <c r="K28"/>
  <c r="I28"/>
  <c r="M27"/>
  <c r="K27"/>
  <c r="J27"/>
  <c r="I27"/>
  <c r="H27"/>
  <c r="M26"/>
  <c r="K26"/>
  <c r="J26"/>
  <c r="H26"/>
  <c r="M25"/>
  <c r="K25"/>
  <c r="J25"/>
  <c r="H25"/>
  <c r="M24"/>
  <c r="K24"/>
  <c r="J24"/>
  <c r="H24"/>
  <c r="K23"/>
  <c r="I23"/>
  <c r="H23"/>
  <c r="K21"/>
  <c r="I21"/>
  <c r="M20"/>
  <c r="K20"/>
  <c r="J20"/>
  <c r="I20"/>
  <c r="H20"/>
  <c r="M19"/>
  <c r="K19"/>
  <c r="J19"/>
  <c r="H19"/>
  <c r="K17"/>
  <c r="J17"/>
  <c r="M16"/>
  <c r="K16"/>
  <c r="J16"/>
  <c r="I16"/>
  <c r="H16"/>
  <c r="K15"/>
  <c r="J15"/>
  <c r="I15"/>
  <c r="H15"/>
  <c r="M11"/>
  <c r="K11"/>
  <c r="J11"/>
  <c r="I11"/>
  <c r="H11"/>
  <c r="K10"/>
  <c r="J10"/>
  <c r="M9"/>
  <c r="K9"/>
  <c r="J9"/>
  <c r="I9"/>
  <c r="H9"/>
  <c r="K8"/>
  <c r="J8"/>
  <c r="I8"/>
  <c r="H8"/>
  <c r="M57" i="25"/>
  <c r="K57"/>
  <c r="J57"/>
  <c r="K56"/>
  <c r="J56"/>
  <c r="M55"/>
  <c r="K55"/>
  <c r="J55"/>
  <c r="I55"/>
  <c r="H55"/>
  <c r="K54"/>
  <c r="J54"/>
  <c r="I54"/>
  <c r="H54"/>
  <c r="K50"/>
  <c r="J50"/>
  <c r="I50"/>
  <c r="H50"/>
  <c r="K46"/>
  <c r="J46"/>
  <c r="I46"/>
  <c r="H46"/>
  <c r="K45"/>
  <c r="I45"/>
  <c r="H45"/>
  <c r="M44"/>
  <c r="K44"/>
  <c r="J44"/>
  <c r="H44"/>
  <c r="M43"/>
  <c r="K43"/>
  <c r="J43"/>
  <c r="H43"/>
  <c r="M42"/>
  <c r="K42"/>
  <c r="J42"/>
  <c r="H42"/>
  <c r="K41"/>
  <c r="J41"/>
  <c r="I41"/>
  <c r="H41"/>
  <c r="K40"/>
  <c r="J40"/>
  <c r="I40"/>
  <c r="H40"/>
  <c r="K39"/>
  <c r="I39"/>
  <c r="K38"/>
  <c r="J38"/>
  <c r="I38"/>
  <c r="H38"/>
  <c r="K37"/>
  <c r="J37"/>
  <c r="I37"/>
  <c r="H37"/>
  <c r="M36"/>
  <c r="K36"/>
  <c r="J36"/>
  <c r="I36"/>
  <c r="H36"/>
  <c r="M34"/>
  <c r="K34"/>
  <c r="J34"/>
  <c r="H34"/>
  <c r="M33"/>
  <c r="K33"/>
  <c r="J33"/>
  <c r="H33"/>
  <c r="M32"/>
  <c r="K32"/>
  <c r="J32"/>
  <c r="I32"/>
  <c r="H32"/>
  <c r="K31"/>
  <c r="J31"/>
  <c r="I31"/>
  <c r="H31"/>
  <c r="K30"/>
  <c r="J30"/>
  <c r="I30"/>
  <c r="H30"/>
  <c r="K29"/>
  <c r="I29"/>
  <c r="K28"/>
  <c r="J28"/>
  <c r="I28"/>
  <c r="H28"/>
  <c r="M27"/>
  <c r="K27"/>
  <c r="J27"/>
  <c r="H27"/>
  <c r="M26"/>
  <c r="K26"/>
  <c r="J26"/>
  <c r="H26"/>
  <c r="H25"/>
  <c r="K23"/>
  <c r="I23"/>
  <c r="M22"/>
  <c r="K22"/>
  <c r="J22"/>
  <c r="H22"/>
  <c r="M21"/>
  <c r="K21"/>
  <c r="J21"/>
  <c r="I21"/>
  <c r="H21"/>
  <c r="M20"/>
  <c r="K20"/>
  <c r="J20"/>
  <c r="H20"/>
  <c r="K18"/>
  <c r="J18"/>
  <c r="H18"/>
  <c r="J59" i="47"/>
  <c r="I59"/>
  <c r="G59"/>
  <c r="M17" i="25"/>
  <c r="K17"/>
  <c r="J17"/>
  <c r="I17"/>
  <c r="H17"/>
  <c r="M16"/>
  <c r="K16"/>
  <c r="J16"/>
  <c r="I16"/>
  <c r="H16"/>
  <c r="M15"/>
  <c r="K15"/>
  <c r="J15"/>
  <c r="H15"/>
  <c r="K13"/>
  <c r="I13"/>
  <c r="H13"/>
  <c r="K12"/>
  <c r="J12"/>
  <c r="I12"/>
  <c r="H12"/>
  <c r="K58" i="24"/>
  <c r="J58"/>
  <c r="I58"/>
  <c r="H58"/>
  <c r="K46"/>
  <c r="J46"/>
  <c r="I46"/>
  <c r="H46"/>
  <c r="M57"/>
  <c r="K57"/>
  <c r="J57"/>
  <c r="I57"/>
  <c r="H57"/>
  <c r="K56"/>
  <c r="J56"/>
  <c r="I56"/>
  <c r="H56"/>
  <c r="K55"/>
  <c r="J55"/>
  <c r="I55"/>
  <c r="H55"/>
  <c r="M45"/>
  <c r="K45"/>
  <c r="J45"/>
  <c r="H45"/>
  <c r="M44"/>
  <c r="K44"/>
  <c r="J44"/>
  <c r="H44"/>
  <c r="K43"/>
  <c r="J43"/>
  <c r="I43"/>
  <c r="H43"/>
  <c r="M42"/>
  <c r="K42"/>
  <c r="J42"/>
  <c r="H42"/>
  <c r="M41"/>
  <c r="K41"/>
  <c r="J41"/>
  <c r="H41"/>
  <c r="K40"/>
  <c r="I40"/>
  <c r="K39"/>
  <c r="J39"/>
  <c r="I39"/>
  <c r="H39"/>
  <c r="M37"/>
  <c r="K37"/>
  <c r="J37"/>
  <c r="I37"/>
  <c r="H37"/>
  <c r="M36"/>
  <c r="K36"/>
  <c r="J36"/>
  <c r="H36"/>
  <c r="K35"/>
  <c r="J35"/>
  <c r="I35"/>
  <c r="H35"/>
  <c r="K34"/>
  <c r="I34"/>
  <c r="K33"/>
  <c r="I33"/>
  <c r="H33"/>
  <c r="M31"/>
  <c r="K31"/>
  <c r="J31"/>
  <c r="I31"/>
  <c r="H31"/>
  <c r="M30"/>
  <c r="K30"/>
  <c r="J30"/>
  <c r="I30"/>
  <c r="H30"/>
  <c r="M29"/>
  <c r="K29"/>
  <c r="J29"/>
  <c r="H29"/>
  <c r="K27"/>
  <c r="J27"/>
  <c r="I27"/>
  <c r="H27"/>
  <c r="K26"/>
  <c r="I26"/>
  <c r="M25"/>
  <c r="K25"/>
  <c r="J25"/>
  <c r="I25"/>
  <c r="H25"/>
  <c r="M24"/>
  <c r="K24"/>
  <c r="J24"/>
  <c r="H24"/>
  <c r="M23"/>
  <c r="K23"/>
  <c r="J23"/>
  <c r="H23"/>
  <c r="M22"/>
  <c r="K22"/>
  <c r="J22"/>
  <c r="H22"/>
  <c r="K21"/>
  <c r="I21"/>
  <c r="H21"/>
  <c r="K20"/>
  <c r="J20"/>
  <c r="I20"/>
  <c r="H20"/>
  <c r="M17"/>
  <c r="K17"/>
  <c r="J17"/>
  <c r="H17"/>
  <c r="K15"/>
  <c r="J15"/>
  <c r="H15"/>
  <c r="K14"/>
  <c r="J14"/>
  <c r="I14"/>
  <c r="H14"/>
  <c r="M13"/>
  <c r="K13"/>
  <c r="J13"/>
  <c r="I13"/>
  <c r="H13"/>
  <c r="K12"/>
  <c r="J12"/>
  <c r="M11"/>
  <c r="K11"/>
  <c r="J11"/>
  <c r="I11"/>
  <c r="H11"/>
  <c r="K10"/>
  <c r="J10"/>
  <c r="I10"/>
  <c r="H10"/>
  <c r="K9"/>
  <c r="J9"/>
  <c r="I9"/>
  <c r="H9"/>
  <c r="K8"/>
  <c r="J8"/>
  <c r="I8"/>
  <c r="H8"/>
  <c r="K39" i="23"/>
  <c r="J39"/>
  <c r="I39"/>
  <c r="H39"/>
  <c r="K34"/>
  <c r="I34"/>
  <c r="K33"/>
  <c r="J33"/>
  <c r="I33"/>
  <c r="H33"/>
  <c r="M32"/>
  <c r="K32"/>
  <c r="J32"/>
  <c r="H32"/>
  <c r="M31"/>
  <c r="K31"/>
  <c r="J31"/>
  <c r="H31"/>
  <c r="K30"/>
  <c r="J30"/>
  <c r="I30"/>
  <c r="H30"/>
  <c r="K29"/>
  <c r="I29"/>
  <c r="H29"/>
  <c r="K27"/>
  <c r="J27"/>
  <c r="I27"/>
  <c r="H27"/>
  <c r="K26"/>
  <c r="J26"/>
  <c r="I26"/>
  <c r="H26"/>
  <c r="K25"/>
  <c r="I25"/>
  <c r="M24"/>
  <c r="K24"/>
  <c r="J24"/>
  <c r="I24"/>
  <c r="H24"/>
  <c r="M23"/>
  <c r="K23"/>
  <c r="J23"/>
  <c r="H23"/>
  <c r="M22"/>
  <c r="K22"/>
  <c r="J22"/>
  <c r="H22"/>
  <c r="M21"/>
  <c r="K21"/>
  <c r="J21"/>
  <c r="H21"/>
  <c r="K20"/>
  <c r="J20"/>
  <c r="I20"/>
  <c r="H20"/>
  <c r="M18"/>
  <c r="K18"/>
  <c r="J18"/>
  <c r="I18"/>
  <c r="H18"/>
  <c r="K17"/>
  <c r="J17"/>
  <c r="I17"/>
  <c r="H17"/>
  <c r="M15"/>
  <c r="K15"/>
  <c r="J15"/>
  <c r="H15"/>
  <c r="K14"/>
  <c r="J14"/>
  <c r="H14"/>
  <c r="M12"/>
  <c r="K12"/>
  <c r="J12"/>
  <c r="I12"/>
  <c r="H12"/>
  <c r="K11"/>
  <c r="J11"/>
  <c r="M10"/>
  <c r="K10"/>
  <c r="J10"/>
  <c r="I10"/>
  <c r="H10"/>
  <c r="K9"/>
  <c r="J9"/>
  <c r="I9"/>
  <c r="H9"/>
  <c r="M6" i="20"/>
  <c r="K6"/>
  <c r="J6"/>
  <c r="I6"/>
  <c r="H6"/>
  <c r="K58"/>
  <c r="J58"/>
  <c r="I58"/>
  <c r="H58"/>
  <c r="K57"/>
  <c r="J57"/>
  <c r="I57"/>
  <c r="H57"/>
  <c r="K56"/>
  <c r="I56"/>
  <c r="K55"/>
  <c r="J55"/>
  <c r="I55"/>
  <c r="H55"/>
  <c r="M54"/>
  <c r="K54"/>
  <c r="J54"/>
  <c r="H54"/>
  <c r="M53"/>
  <c r="K53"/>
  <c r="J53"/>
  <c r="H53"/>
  <c r="M52"/>
  <c r="K52"/>
  <c r="J52"/>
  <c r="H52"/>
  <c r="K51"/>
  <c r="I51"/>
  <c r="H51"/>
  <c r="K48"/>
  <c r="J48"/>
  <c r="I48"/>
  <c r="H48"/>
  <c r="K43"/>
  <c r="J43"/>
  <c r="I43"/>
  <c r="H43"/>
  <c r="M42"/>
  <c r="J42"/>
  <c r="H42"/>
  <c r="M41"/>
  <c r="K41"/>
  <c r="J41"/>
  <c r="H41"/>
  <c r="K40"/>
  <c r="J40"/>
  <c r="I40"/>
  <c r="H40"/>
  <c r="M39"/>
  <c r="K39"/>
  <c r="J39"/>
  <c r="H39"/>
  <c r="M38"/>
  <c r="K38"/>
  <c r="J38"/>
  <c r="H38"/>
  <c r="K37"/>
  <c r="I37"/>
  <c r="K36"/>
  <c r="J36"/>
  <c r="I36"/>
  <c r="H36"/>
  <c r="K35"/>
  <c r="I35"/>
  <c r="H35"/>
  <c r="K33"/>
  <c r="I33"/>
  <c r="M32"/>
  <c r="K32"/>
  <c r="J32"/>
  <c r="I32"/>
  <c r="H32"/>
  <c r="K31"/>
  <c r="J31"/>
  <c r="I31"/>
  <c r="H31"/>
  <c r="K29"/>
  <c r="J29"/>
  <c r="H29"/>
  <c r="M28"/>
  <c r="K28"/>
  <c r="J28"/>
  <c r="H28"/>
  <c r="M27"/>
  <c r="K27"/>
  <c r="J27"/>
  <c r="H27"/>
  <c r="K26"/>
  <c r="J26"/>
  <c r="I26"/>
  <c r="H26"/>
  <c r="K25"/>
  <c r="I25"/>
  <c r="M24"/>
  <c r="K24"/>
  <c r="J24"/>
  <c r="I24"/>
  <c r="H24"/>
  <c r="M23"/>
  <c r="K23"/>
  <c r="J23"/>
  <c r="H23"/>
  <c r="M22"/>
  <c r="K22"/>
  <c r="J22"/>
  <c r="H22"/>
  <c r="M21"/>
  <c r="K21"/>
  <c r="J21"/>
  <c r="H21"/>
  <c r="M20"/>
  <c r="K20"/>
  <c r="J20"/>
  <c r="H20"/>
  <c r="K19"/>
  <c r="I19"/>
  <c r="H19"/>
  <c r="K15"/>
  <c r="J15"/>
  <c r="M14"/>
  <c r="K14"/>
  <c r="J14"/>
  <c r="H14"/>
  <c r="M13"/>
  <c r="K13"/>
  <c r="J13"/>
  <c r="H13"/>
  <c r="K17"/>
  <c r="J17"/>
  <c r="I17"/>
  <c r="H17"/>
  <c r="K16"/>
  <c r="J16"/>
  <c r="I16"/>
  <c r="H16"/>
  <c r="M11"/>
  <c r="K11"/>
  <c r="J11"/>
  <c r="I11"/>
  <c r="H11"/>
  <c r="K10"/>
  <c r="J10"/>
  <c r="I10"/>
  <c r="H10"/>
  <c r="K9"/>
  <c r="J9"/>
  <c r="K8"/>
  <c r="J8"/>
  <c r="I8"/>
  <c r="H8"/>
  <c r="K60" i="31"/>
  <c r="J60"/>
  <c r="I60"/>
  <c r="H60"/>
  <c r="K59"/>
  <c r="J59"/>
  <c r="K58"/>
  <c r="J58"/>
  <c r="I58"/>
  <c r="H58"/>
  <c r="K57"/>
  <c r="J57"/>
  <c r="I57"/>
  <c r="H57"/>
  <c r="K56"/>
  <c r="J56"/>
  <c r="I56"/>
  <c r="H56"/>
  <c r="K76"/>
  <c r="J76"/>
  <c r="M75"/>
  <c r="K75"/>
  <c r="J75"/>
  <c r="H75"/>
  <c r="K73"/>
  <c r="J73"/>
  <c r="I73"/>
  <c r="H73"/>
  <c r="J92" i="43"/>
  <c r="I92"/>
  <c r="G92"/>
  <c r="L92"/>
  <c r="J90"/>
  <c r="H90"/>
  <c r="J98"/>
  <c r="I98"/>
  <c r="G98"/>
  <c r="J97"/>
  <c r="I97"/>
  <c r="G97"/>
  <c r="L96"/>
  <c r="J96"/>
  <c r="I96"/>
  <c r="G96"/>
  <c r="J95"/>
  <c r="H95"/>
  <c r="G95"/>
  <c r="L94"/>
  <c r="J94"/>
  <c r="I94"/>
  <c r="G94"/>
  <c r="L93"/>
  <c r="J93"/>
  <c r="I93"/>
  <c r="G93"/>
  <c r="L91"/>
  <c r="J91"/>
  <c r="I91"/>
  <c r="H91"/>
  <c r="G91"/>
  <c r="L89"/>
  <c r="J89"/>
  <c r="I89"/>
  <c r="G89"/>
  <c r="L88"/>
  <c r="J88"/>
  <c r="I88"/>
  <c r="G88"/>
  <c r="M63" i="31"/>
  <c r="K63"/>
  <c r="J63"/>
  <c r="I63"/>
  <c r="H63"/>
  <c r="M62"/>
  <c r="K62"/>
  <c r="J62"/>
  <c r="H62"/>
  <c r="J82" i="45"/>
  <c r="I82"/>
  <c r="H82"/>
  <c r="G82"/>
  <c r="J81"/>
  <c r="I81"/>
  <c r="H81"/>
  <c r="G81"/>
  <c r="K54" i="31"/>
  <c r="J54"/>
  <c r="M53"/>
  <c r="K53"/>
  <c r="J53"/>
  <c r="H53"/>
  <c r="K51"/>
  <c r="J51"/>
  <c r="I51"/>
  <c r="H51"/>
  <c r="L84" i="43"/>
  <c r="J84"/>
  <c r="I84"/>
  <c r="H84"/>
  <c r="G84"/>
  <c r="L85"/>
  <c r="J85"/>
  <c r="I85"/>
  <c r="H85"/>
  <c r="G85"/>
  <c r="M12" i="31"/>
  <c r="K12"/>
  <c r="J12"/>
  <c r="I12"/>
  <c r="H12"/>
  <c r="K11"/>
  <c r="J11"/>
  <c r="I11"/>
  <c r="H11"/>
  <c r="K63" i="30"/>
  <c r="J63"/>
  <c r="M62"/>
  <c r="K62"/>
  <c r="J62"/>
  <c r="H62"/>
  <c r="K60"/>
  <c r="J60"/>
  <c r="I60"/>
  <c r="H60"/>
  <c r="K51"/>
  <c r="J51"/>
  <c r="I51"/>
  <c r="H51"/>
  <c r="K36"/>
  <c r="J36"/>
  <c r="I36"/>
  <c r="H36"/>
  <c r="J49" i="43"/>
  <c r="I49"/>
  <c r="H49"/>
  <c r="G49"/>
  <c r="J43" i="44"/>
  <c r="I43"/>
  <c r="H43"/>
  <c r="G43"/>
  <c r="K69" i="29"/>
  <c r="J69"/>
  <c r="M68"/>
  <c r="K68"/>
  <c r="J68"/>
  <c r="H68"/>
  <c r="K66"/>
  <c r="J66"/>
  <c r="I66"/>
  <c r="H66"/>
  <c r="K53"/>
  <c r="J53"/>
  <c r="I53"/>
  <c r="H53"/>
  <c r="L4" i="47"/>
  <c r="J4"/>
  <c r="I4"/>
  <c r="G4"/>
  <c r="L47"/>
  <c r="J47"/>
  <c r="I47"/>
  <c r="G47"/>
  <c r="M52" i="29"/>
  <c r="K52"/>
  <c r="J52"/>
  <c r="H52"/>
  <c r="M44" i="28"/>
  <c r="K44"/>
  <c r="J44"/>
  <c r="H44"/>
  <c r="M36" i="27"/>
  <c r="K36"/>
  <c r="J36"/>
  <c r="H36"/>
  <c r="M40" i="26"/>
  <c r="K40"/>
  <c r="J40"/>
  <c r="H40"/>
  <c r="M48" i="25"/>
  <c r="K48"/>
  <c r="J48"/>
  <c r="H48"/>
  <c r="M48" i="24"/>
  <c r="K48"/>
  <c r="J48"/>
  <c r="H48"/>
  <c r="M36" i="23"/>
  <c r="K36"/>
  <c r="J36"/>
  <c r="K51" i="29"/>
  <c r="J51"/>
  <c r="M50"/>
  <c r="K50"/>
  <c r="J50"/>
  <c r="H50"/>
  <c r="J5" i="48"/>
  <c r="I5"/>
  <c r="H5"/>
  <c r="G5"/>
  <c r="L6"/>
  <c r="J6"/>
  <c r="I6"/>
  <c r="H6"/>
  <c r="G6"/>
  <c r="K12" i="28"/>
  <c r="J12"/>
  <c r="H12"/>
  <c r="K63"/>
  <c r="J63"/>
  <c r="M62"/>
  <c r="K62"/>
  <c r="J62"/>
  <c r="H62"/>
  <c r="K60"/>
  <c r="J60"/>
  <c r="I60"/>
  <c r="H60"/>
  <c r="K11"/>
  <c r="J11"/>
  <c r="I11"/>
  <c r="H11"/>
  <c r="K59"/>
  <c r="J59"/>
  <c r="K58"/>
  <c r="J58"/>
  <c r="I58"/>
  <c r="H58"/>
  <c r="M57"/>
  <c r="K57"/>
  <c r="J57"/>
  <c r="I57"/>
  <c r="H57"/>
  <c r="K55"/>
  <c r="J55"/>
  <c r="I55"/>
  <c r="H55"/>
  <c r="K54"/>
  <c r="J54"/>
  <c r="K53"/>
  <c r="J53"/>
  <c r="I53"/>
  <c r="H53"/>
  <c r="K52"/>
  <c r="J52"/>
  <c r="I52"/>
  <c r="H52"/>
  <c r="M51"/>
  <c r="K51"/>
  <c r="J51"/>
  <c r="I51"/>
  <c r="H51"/>
  <c r="M49"/>
  <c r="K49"/>
  <c r="J49"/>
  <c r="I49"/>
  <c r="H49"/>
  <c r="M48"/>
  <c r="K48"/>
  <c r="J48"/>
  <c r="H48"/>
  <c r="K46"/>
  <c r="J46"/>
  <c r="I46"/>
  <c r="H46"/>
  <c r="K45"/>
  <c r="J45"/>
  <c r="M14"/>
  <c r="K14"/>
  <c r="J14"/>
  <c r="H14"/>
  <c r="M15" i="27"/>
  <c r="K15"/>
  <c r="J15"/>
  <c r="H15"/>
  <c r="K49" i="25"/>
  <c r="J49"/>
  <c r="M60"/>
  <c r="K60"/>
  <c r="J60"/>
  <c r="H60"/>
  <c r="M56" i="26"/>
  <c r="K56"/>
  <c r="J56"/>
  <c r="H56"/>
  <c r="J18" i="48"/>
  <c r="I18"/>
  <c r="H18"/>
  <c r="G18"/>
  <c r="J24" i="47"/>
  <c r="I24"/>
  <c r="H24"/>
  <c r="G24"/>
  <c r="J33"/>
  <c r="I33"/>
  <c r="H33"/>
  <c r="G33"/>
  <c r="J51"/>
  <c r="I51"/>
  <c r="H51"/>
  <c r="G51"/>
  <c r="M51" i="27"/>
  <c r="K51"/>
  <c r="J51"/>
  <c r="H51"/>
  <c r="K49"/>
  <c r="J49"/>
  <c r="I49"/>
  <c r="H49"/>
  <c r="M39"/>
  <c r="K39"/>
  <c r="J39"/>
  <c r="I39"/>
  <c r="H39"/>
  <c r="K34"/>
  <c r="J34"/>
  <c r="I34"/>
  <c r="H34"/>
  <c r="K37"/>
  <c r="J37"/>
  <c r="K24"/>
  <c r="I24"/>
  <c r="K23"/>
  <c r="J23"/>
  <c r="I23"/>
  <c r="H23"/>
  <c r="K22"/>
  <c r="J22"/>
  <c r="I22"/>
  <c r="H22"/>
  <c r="M21"/>
  <c r="K21"/>
  <c r="J21"/>
  <c r="H21"/>
  <c r="M20"/>
  <c r="K20"/>
  <c r="J20"/>
  <c r="H20"/>
  <c r="K16"/>
  <c r="J16"/>
  <c r="M14"/>
  <c r="K14"/>
  <c r="J14"/>
  <c r="H14"/>
  <c r="M10"/>
  <c r="K10"/>
  <c r="J10"/>
  <c r="I10"/>
  <c r="H10"/>
  <c r="K9"/>
  <c r="J9"/>
  <c r="I9"/>
  <c r="H9"/>
  <c r="K8"/>
  <c r="J8"/>
  <c r="K7"/>
  <c r="J7"/>
  <c r="I7"/>
  <c r="H7"/>
  <c r="J48" i="47"/>
  <c r="I48"/>
  <c r="J41"/>
  <c r="J5"/>
  <c r="I5"/>
  <c r="J26"/>
  <c r="I26"/>
  <c r="J35"/>
  <c r="I35"/>
  <c r="K57" i="26"/>
  <c r="J57"/>
  <c r="K13"/>
  <c r="J13"/>
  <c r="I13"/>
  <c r="H13"/>
  <c r="J41"/>
  <c r="K42"/>
  <c r="J42"/>
  <c r="I42"/>
  <c r="H42"/>
  <c r="M31"/>
  <c r="K31"/>
  <c r="J31"/>
  <c r="H31"/>
  <c r="J82" i="41"/>
  <c r="I82"/>
  <c r="H82"/>
  <c r="G82"/>
  <c r="M12" i="26"/>
  <c r="K12"/>
  <c r="J12"/>
  <c r="I12"/>
  <c r="H12"/>
  <c r="K58" i="25"/>
  <c r="J58"/>
  <c r="I58"/>
  <c r="H58"/>
  <c r="K61"/>
  <c r="J61"/>
  <c r="M52"/>
  <c r="K52"/>
  <c r="J52"/>
  <c r="I52"/>
  <c r="H52"/>
  <c r="K51"/>
  <c r="J51"/>
  <c r="I51"/>
  <c r="H51"/>
  <c r="G118" i="45"/>
  <c r="K11" i="25"/>
  <c r="J11"/>
  <c r="M10"/>
  <c r="K10"/>
  <c r="J10"/>
  <c r="I10"/>
  <c r="H10"/>
  <c r="M9"/>
  <c r="K9"/>
  <c r="J9"/>
  <c r="I9"/>
  <c r="H9"/>
  <c r="K8"/>
  <c r="J8"/>
  <c r="I8"/>
  <c r="H153" i="42"/>
  <c r="H38" i="41"/>
  <c r="L147" i="42"/>
  <c r="J147"/>
  <c r="I147"/>
  <c r="G147"/>
  <c r="J145"/>
  <c r="I145"/>
  <c r="H145"/>
  <c r="G145"/>
  <c r="L137"/>
  <c r="J137"/>
  <c r="I137"/>
  <c r="G137"/>
  <c r="J134"/>
  <c r="H134"/>
  <c r="G134"/>
  <c r="J129"/>
  <c r="I129"/>
  <c r="H129"/>
  <c r="G129"/>
  <c r="J120"/>
  <c r="I120"/>
  <c r="H120"/>
  <c r="G120"/>
  <c r="L105"/>
  <c r="J105"/>
  <c r="I105"/>
  <c r="G105"/>
  <c r="J99"/>
  <c r="I99"/>
  <c r="H99"/>
  <c r="G99"/>
  <c r="J77"/>
  <c r="I77"/>
  <c r="L76"/>
  <c r="J76"/>
  <c r="I76"/>
  <c r="G76"/>
  <c r="L68"/>
  <c r="J68"/>
  <c r="I68"/>
  <c r="G68"/>
  <c r="L69"/>
  <c r="J69"/>
  <c r="I69"/>
  <c r="G69"/>
  <c r="L59"/>
  <c r="J59"/>
  <c r="I59"/>
  <c r="G59"/>
  <c r="L62" i="41"/>
  <c r="J62"/>
  <c r="I62"/>
  <c r="G62"/>
  <c r="L56"/>
  <c r="J56"/>
  <c r="I56"/>
  <c r="G56"/>
  <c r="H36" i="23"/>
  <c r="K37"/>
  <c r="J37"/>
  <c r="K38"/>
  <c r="J38"/>
  <c r="I38"/>
  <c r="H38"/>
  <c r="J71" i="44"/>
  <c r="H71"/>
  <c r="G71"/>
  <c r="L68"/>
  <c r="J68"/>
  <c r="I68"/>
  <c r="G68"/>
  <c r="L67"/>
  <c r="J67"/>
  <c r="I67"/>
  <c r="G67"/>
  <c r="J70"/>
  <c r="I70"/>
  <c r="H70"/>
  <c r="G70"/>
  <c r="J66"/>
  <c r="H66"/>
  <c r="J69"/>
  <c r="I69"/>
  <c r="H69"/>
  <c r="G69"/>
  <c r="J64"/>
  <c r="H64"/>
  <c r="G64"/>
  <c r="J72"/>
  <c r="I72"/>
  <c r="H72"/>
  <c r="G72"/>
  <c r="J65"/>
  <c r="I65"/>
  <c r="H65"/>
  <c r="G65"/>
  <c r="J116" i="45"/>
  <c r="I116"/>
  <c r="H116"/>
  <c r="G116"/>
  <c r="J114"/>
  <c r="I114"/>
  <c r="H114"/>
  <c r="G114"/>
  <c r="J111" i="42"/>
  <c r="I111"/>
  <c r="H111"/>
  <c r="G111"/>
  <c r="J16" i="48"/>
  <c r="H16"/>
  <c r="G16"/>
  <c r="J15"/>
  <c r="I15"/>
  <c r="H15"/>
  <c r="G15"/>
  <c r="J11"/>
  <c r="I11"/>
  <c r="H11"/>
  <c r="G11"/>
  <c r="J13"/>
  <c r="I13"/>
  <c r="J12"/>
  <c r="H12"/>
  <c r="G12"/>
  <c r="J9"/>
  <c r="I9"/>
  <c r="G9"/>
  <c r="J8"/>
  <c r="I8"/>
  <c r="H8"/>
  <c r="G8"/>
  <c r="J3"/>
  <c r="I3"/>
  <c r="G3"/>
  <c r="H3"/>
  <c r="J2"/>
  <c r="I2"/>
  <c r="H2"/>
  <c r="G2"/>
  <c r="J112" i="45"/>
  <c r="I112"/>
  <c r="H112"/>
  <c r="G112"/>
  <c r="J110"/>
  <c r="I110"/>
  <c r="H110"/>
  <c r="G110"/>
  <c r="J104"/>
  <c r="I104"/>
  <c r="H104"/>
  <c r="G104"/>
  <c r="J108"/>
  <c r="I108"/>
  <c r="H108"/>
  <c r="G108"/>
  <c r="G106"/>
  <c r="H106"/>
  <c r="I106"/>
  <c r="J106"/>
  <c r="J102"/>
  <c r="I102"/>
  <c r="H102"/>
  <c r="G102"/>
  <c r="J100"/>
  <c r="I100"/>
  <c r="H100"/>
  <c r="G100"/>
  <c r="J98"/>
  <c r="I98"/>
  <c r="H98"/>
  <c r="G98"/>
  <c r="L57" i="47"/>
  <c r="J57"/>
  <c r="I57"/>
  <c r="H57"/>
  <c r="G57"/>
  <c r="L56"/>
  <c r="J56"/>
  <c r="I56"/>
  <c r="H56"/>
  <c r="G56"/>
  <c r="L55"/>
  <c r="J55"/>
  <c r="I55"/>
  <c r="G55"/>
  <c r="L52"/>
  <c r="J52"/>
  <c r="I52"/>
  <c r="H52"/>
  <c r="G52"/>
  <c r="J44"/>
  <c r="I44"/>
  <c r="G44"/>
  <c r="J42"/>
  <c r="I42"/>
  <c r="G42"/>
  <c r="L40"/>
  <c r="J40"/>
  <c r="I40"/>
  <c r="G40"/>
  <c r="L34"/>
  <c r="J34"/>
  <c r="I34"/>
  <c r="H34"/>
  <c r="G34"/>
  <c r="J30"/>
  <c r="I30"/>
  <c r="J29"/>
  <c r="I29"/>
  <c r="G29"/>
  <c r="L25"/>
  <c r="J25"/>
  <c r="I25"/>
  <c r="L21"/>
  <c r="J21"/>
  <c r="I21"/>
  <c r="H21"/>
  <c r="G21"/>
  <c r="L20"/>
  <c r="J20"/>
  <c r="I20"/>
  <c r="G20"/>
  <c r="L16"/>
  <c r="J16"/>
  <c r="I16"/>
  <c r="G16"/>
  <c r="J15"/>
  <c r="I15"/>
  <c r="G15"/>
  <c r="L11"/>
  <c r="J11"/>
  <c r="I11"/>
  <c r="G11"/>
  <c r="L7"/>
  <c r="J7"/>
  <c r="I7"/>
  <c r="H7"/>
  <c r="G7"/>
  <c r="L3"/>
  <c r="J3"/>
  <c r="I3"/>
  <c r="G3"/>
  <c r="J72" i="46"/>
  <c r="I72"/>
  <c r="H72"/>
  <c r="G72"/>
  <c r="L75"/>
  <c r="J75"/>
  <c r="I75"/>
  <c r="J74"/>
  <c r="I74"/>
  <c r="L73"/>
  <c r="J73"/>
  <c r="I73"/>
  <c r="H73"/>
  <c r="G73"/>
  <c r="L69"/>
  <c r="J69"/>
  <c r="I69"/>
  <c r="J68"/>
  <c r="I68"/>
  <c r="L67"/>
  <c r="J67"/>
  <c r="I67"/>
  <c r="H67"/>
  <c r="G67"/>
  <c r="J66"/>
  <c r="I66"/>
  <c r="H66"/>
  <c r="G66"/>
  <c r="L63"/>
  <c r="J63"/>
  <c r="I63"/>
  <c r="H63"/>
  <c r="G63"/>
  <c r="J62"/>
  <c r="I62"/>
  <c r="H62"/>
  <c r="G62"/>
  <c r="J61"/>
  <c r="I61"/>
  <c r="J60"/>
  <c r="I60"/>
  <c r="H60"/>
  <c r="G60"/>
  <c r="L57"/>
  <c r="J57"/>
  <c r="I57"/>
  <c r="H57"/>
  <c r="G57"/>
  <c r="J56"/>
  <c r="I56"/>
  <c r="L55"/>
  <c r="J55"/>
  <c r="I55"/>
  <c r="H55"/>
  <c r="G55"/>
  <c r="J54"/>
  <c r="I54"/>
  <c r="H54"/>
  <c r="G54"/>
  <c r="L51"/>
  <c r="J51"/>
  <c r="I51"/>
  <c r="H51"/>
  <c r="G51"/>
  <c r="J50"/>
  <c r="I50"/>
  <c r="L49"/>
  <c r="J49"/>
  <c r="I49"/>
  <c r="H49"/>
  <c r="G49"/>
  <c r="J48"/>
  <c r="I48"/>
  <c r="H48"/>
  <c r="G48"/>
  <c r="L45"/>
  <c r="J45"/>
  <c r="I45"/>
  <c r="J44"/>
  <c r="I44"/>
  <c r="L43"/>
  <c r="J43"/>
  <c r="I43"/>
  <c r="H43"/>
  <c r="G43"/>
  <c r="J42"/>
  <c r="I42"/>
  <c r="H42"/>
  <c r="G42"/>
  <c r="L39"/>
  <c r="J39"/>
  <c r="I39"/>
  <c r="H39"/>
  <c r="G39"/>
  <c r="J38"/>
  <c r="I38"/>
  <c r="L37"/>
  <c r="J37"/>
  <c r="I37"/>
  <c r="H37"/>
  <c r="G37"/>
  <c r="J36"/>
  <c r="I36"/>
  <c r="H36"/>
  <c r="G36"/>
  <c r="J35"/>
  <c r="I35"/>
  <c r="H35"/>
  <c r="G35"/>
  <c r="J32"/>
  <c r="I32"/>
  <c r="H32"/>
  <c r="G32"/>
  <c r="L31"/>
  <c r="J31"/>
  <c r="I31"/>
  <c r="H31"/>
  <c r="G31"/>
  <c r="J30"/>
  <c r="I30"/>
  <c r="L29"/>
  <c r="J29"/>
  <c r="I29"/>
  <c r="H29"/>
  <c r="G29"/>
  <c r="L26"/>
  <c r="J26"/>
  <c r="I26"/>
  <c r="H26"/>
  <c r="G26"/>
  <c r="J25"/>
  <c r="I25"/>
  <c r="L24"/>
  <c r="J24"/>
  <c r="I24"/>
  <c r="H24"/>
  <c r="G24"/>
  <c r="J23"/>
  <c r="I23"/>
  <c r="H23"/>
  <c r="G23"/>
  <c r="J22"/>
  <c r="I22"/>
  <c r="H22"/>
  <c r="G22"/>
  <c r="J21"/>
  <c r="I21"/>
  <c r="H21"/>
  <c r="G21"/>
  <c r="L18"/>
  <c r="J18"/>
  <c r="I18"/>
  <c r="H18"/>
  <c r="G18"/>
  <c r="J17"/>
  <c r="I17"/>
  <c r="L16"/>
  <c r="J16"/>
  <c r="I16"/>
  <c r="H16"/>
  <c r="G16"/>
  <c r="J15"/>
  <c r="I15"/>
  <c r="H15"/>
  <c r="G15"/>
  <c r="J12"/>
  <c r="I12"/>
  <c r="L11"/>
  <c r="J11"/>
  <c r="I11"/>
  <c r="H11"/>
  <c r="G11"/>
  <c r="L10"/>
  <c r="J10"/>
  <c r="I10"/>
  <c r="H10"/>
  <c r="G10"/>
  <c r="J9"/>
  <c r="I9"/>
  <c r="H9"/>
  <c r="L6"/>
  <c r="J6"/>
  <c r="I6"/>
  <c r="H6"/>
  <c r="G6"/>
  <c r="J5"/>
  <c r="I5"/>
  <c r="H5"/>
  <c r="G5"/>
  <c r="J4"/>
  <c r="I4"/>
  <c r="J3"/>
  <c r="I3"/>
  <c r="H3"/>
  <c r="G3"/>
  <c r="L96" i="45"/>
  <c r="J96"/>
  <c r="I96"/>
  <c r="G96"/>
  <c r="L95"/>
  <c r="J95"/>
  <c r="I95"/>
  <c r="G95"/>
  <c r="L94"/>
  <c r="J94"/>
  <c r="I94"/>
  <c r="G94"/>
  <c r="J93"/>
  <c r="I93"/>
  <c r="H93"/>
  <c r="G93"/>
  <c r="J92"/>
  <c r="I92"/>
  <c r="H92"/>
  <c r="G92"/>
  <c r="J91"/>
  <c r="H91"/>
  <c r="J90"/>
  <c r="I90"/>
  <c r="H90"/>
  <c r="G90"/>
  <c r="J89"/>
  <c r="I89"/>
  <c r="H89"/>
  <c r="G89"/>
  <c r="L88"/>
  <c r="J88"/>
  <c r="I88"/>
  <c r="H88"/>
  <c r="G88"/>
  <c r="J85"/>
  <c r="I85"/>
  <c r="H85"/>
  <c r="G85"/>
  <c r="J84"/>
  <c r="I84"/>
  <c r="J83"/>
  <c r="I83"/>
  <c r="H83"/>
  <c r="G83"/>
  <c r="J78"/>
  <c r="I78"/>
  <c r="J77"/>
  <c r="I77"/>
  <c r="H77"/>
  <c r="G77"/>
  <c r="L76"/>
  <c r="J76"/>
  <c r="I76"/>
  <c r="H76"/>
  <c r="G76"/>
  <c r="J74"/>
  <c r="H74"/>
  <c r="J73"/>
  <c r="I73"/>
  <c r="H73"/>
  <c r="G73"/>
  <c r="J72"/>
  <c r="I72"/>
  <c r="J71"/>
  <c r="I71"/>
  <c r="H71"/>
  <c r="G71"/>
  <c r="J70"/>
  <c r="I70"/>
  <c r="H70"/>
  <c r="G70"/>
  <c r="L69"/>
  <c r="J69"/>
  <c r="I69"/>
  <c r="H69"/>
  <c r="G69"/>
  <c r="J66"/>
  <c r="I66"/>
  <c r="H66"/>
  <c r="G66"/>
  <c r="J65"/>
  <c r="H65"/>
  <c r="G65"/>
  <c r="L64"/>
  <c r="J64"/>
  <c r="I64"/>
  <c r="H64"/>
  <c r="G64"/>
  <c r="J63"/>
  <c r="I63"/>
  <c r="H63"/>
  <c r="G63"/>
  <c r="J60"/>
  <c r="H60"/>
  <c r="G60"/>
  <c r="L59"/>
  <c r="J59"/>
  <c r="I59"/>
  <c r="G59"/>
  <c r="L58"/>
  <c r="J58"/>
  <c r="I58"/>
  <c r="G58"/>
  <c r="J57"/>
  <c r="H57"/>
  <c r="G57"/>
  <c r="J56"/>
  <c r="I56"/>
  <c r="H56"/>
  <c r="G56"/>
  <c r="J55"/>
  <c r="I55"/>
  <c r="H55"/>
  <c r="G55"/>
  <c r="J54"/>
  <c r="H54"/>
  <c r="J53"/>
  <c r="I53"/>
  <c r="H53"/>
  <c r="G53"/>
  <c r="J52"/>
  <c r="I52"/>
  <c r="H52"/>
  <c r="G52"/>
  <c r="L51"/>
  <c r="J51"/>
  <c r="I51"/>
  <c r="H51"/>
  <c r="G51"/>
  <c r="J48"/>
  <c r="I48"/>
  <c r="J47"/>
  <c r="I47"/>
  <c r="H47"/>
  <c r="G47"/>
  <c r="L46"/>
  <c r="J46"/>
  <c r="I46"/>
  <c r="H46"/>
  <c r="G46"/>
  <c r="J44"/>
  <c r="I44"/>
  <c r="H44"/>
  <c r="G44"/>
  <c r="J43"/>
  <c r="I43"/>
  <c r="J42"/>
  <c r="I42"/>
  <c r="H42"/>
  <c r="G42"/>
  <c r="J41"/>
  <c r="I41"/>
  <c r="H41"/>
  <c r="G41"/>
  <c r="L40"/>
  <c r="J40"/>
  <c r="I40"/>
  <c r="H40"/>
  <c r="G40"/>
  <c r="J37"/>
  <c r="H37"/>
  <c r="G37"/>
  <c r="L36"/>
  <c r="J36"/>
  <c r="I36"/>
  <c r="G36"/>
  <c r="L35"/>
  <c r="J35"/>
  <c r="I35"/>
  <c r="G35"/>
  <c r="L34"/>
  <c r="J34"/>
  <c r="I34"/>
  <c r="G34"/>
  <c r="J33"/>
  <c r="I33"/>
  <c r="H33"/>
  <c r="G33"/>
  <c r="J32"/>
  <c r="I32"/>
  <c r="H32"/>
  <c r="G32"/>
  <c r="J31"/>
  <c r="H31"/>
  <c r="J30"/>
  <c r="I30"/>
  <c r="H30"/>
  <c r="G30"/>
  <c r="J29"/>
  <c r="I29"/>
  <c r="H29"/>
  <c r="G29"/>
  <c r="L28"/>
  <c r="J28"/>
  <c r="I28"/>
  <c r="H28"/>
  <c r="G28"/>
  <c r="L25"/>
  <c r="J25"/>
  <c r="I25"/>
  <c r="H25"/>
  <c r="G25"/>
  <c r="J24"/>
  <c r="I24"/>
  <c r="H24"/>
  <c r="G24"/>
  <c r="J23"/>
  <c r="I23"/>
  <c r="H23"/>
  <c r="G23"/>
  <c r="J20"/>
  <c r="I20"/>
  <c r="H20"/>
  <c r="G20"/>
  <c r="J19"/>
  <c r="I19"/>
  <c r="J17"/>
  <c r="H17"/>
  <c r="J16"/>
  <c r="I16"/>
  <c r="H16"/>
  <c r="G16"/>
  <c r="J14"/>
  <c r="I14"/>
  <c r="H14"/>
  <c r="G14"/>
  <c r="J13"/>
  <c r="I13"/>
  <c r="H13"/>
  <c r="G13"/>
  <c r="J18"/>
  <c r="I18"/>
  <c r="H18"/>
  <c r="G18"/>
  <c r="J15"/>
  <c r="I15"/>
  <c r="H15"/>
  <c r="G15"/>
  <c r="L14"/>
  <c r="J10"/>
  <c r="I10"/>
  <c r="H10"/>
  <c r="G10"/>
  <c r="J9"/>
  <c r="I9"/>
  <c r="G9"/>
  <c r="L8"/>
  <c r="J8"/>
  <c r="I8"/>
  <c r="H8"/>
  <c r="G8"/>
  <c r="J7"/>
  <c r="I7"/>
  <c r="J6"/>
  <c r="I6"/>
  <c r="H6"/>
  <c r="G6"/>
  <c r="J5"/>
  <c r="H5"/>
  <c r="J4"/>
  <c r="I4"/>
  <c r="H4"/>
  <c r="G4"/>
  <c r="L3"/>
  <c r="J3"/>
  <c r="I3"/>
  <c r="H3"/>
  <c r="G3"/>
  <c r="L61" i="44"/>
  <c r="J61"/>
  <c r="I61"/>
  <c r="H61"/>
  <c r="G61"/>
  <c r="J60"/>
  <c r="I60"/>
  <c r="H60"/>
  <c r="G60"/>
  <c r="J59"/>
  <c r="I59"/>
  <c r="H59"/>
  <c r="G59"/>
  <c r="J58"/>
  <c r="H58"/>
  <c r="G58"/>
  <c r="L57"/>
  <c r="J57"/>
  <c r="I57"/>
  <c r="G57"/>
  <c r="L56"/>
  <c r="J56"/>
  <c r="I56"/>
  <c r="G56"/>
  <c r="J55"/>
  <c r="H55"/>
  <c r="J54"/>
  <c r="I54"/>
  <c r="H54"/>
  <c r="G54"/>
  <c r="L51"/>
  <c r="J51"/>
  <c r="I51"/>
  <c r="H51"/>
  <c r="G51"/>
  <c r="L50"/>
  <c r="J50"/>
  <c r="I50"/>
  <c r="G50"/>
  <c r="J49"/>
  <c r="I49"/>
  <c r="H49"/>
  <c r="G49"/>
  <c r="J48"/>
  <c r="I48"/>
  <c r="H48"/>
  <c r="G48"/>
  <c r="J47"/>
  <c r="H47"/>
  <c r="G47"/>
  <c r="J44"/>
  <c r="H44"/>
  <c r="L42"/>
  <c r="J42"/>
  <c r="I42"/>
  <c r="G42"/>
  <c r="L41"/>
  <c r="J41"/>
  <c r="I41"/>
  <c r="G41"/>
  <c r="J40"/>
  <c r="I40"/>
  <c r="H40"/>
  <c r="G40"/>
  <c r="L39"/>
  <c r="J39"/>
  <c r="I39"/>
  <c r="G39"/>
  <c r="J38"/>
  <c r="H38"/>
  <c r="G38"/>
  <c r="L35"/>
  <c r="J35"/>
  <c r="I35"/>
  <c r="H35"/>
  <c r="G35"/>
  <c r="L34"/>
  <c r="J34"/>
  <c r="I34"/>
  <c r="G34"/>
  <c r="J33"/>
  <c r="I33"/>
  <c r="H33"/>
  <c r="G33"/>
  <c r="J32"/>
  <c r="H32"/>
  <c r="J31"/>
  <c r="H31"/>
  <c r="G31"/>
  <c r="J28"/>
  <c r="I28"/>
  <c r="H28"/>
  <c r="G28"/>
  <c r="J27"/>
  <c r="H27"/>
  <c r="G27"/>
  <c r="L24"/>
  <c r="J24"/>
  <c r="I24"/>
  <c r="G24"/>
  <c r="L23"/>
  <c r="J23"/>
  <c r="I23"/>
  <c r="G23"/>
  <c r="J22"/>
  <c r="I22"/>
  <c r="H22"/>
  <c r="G22"/>
  <c r="L21"/>
  <c r="J21"/>
  <c r="I21"/>
  <c r="G21"/>
  <c r="L20"/>
  <c r="J20"/>
  <c r="I20"/>
  <c r="G20"/>
  <c r="J19"/>
  <c r="H19"/>
  <c r="J18"/>
  <c r="I18"/>
  <c r="H18"/>
  <c r="G18"/>
  <c r="L16"/>
  <c r="J16"/>
  <c r="I16"/>
  <c r="H16"/>
  <c r="G16"/>
  <c r="J15"/>
  <c r="I15"/>
  <c r="H15"/>
  <c r="G15"/>
  <c r="G14"/>
  <c r="J11"/>
  <c r="I11"/>
  <c r="H11"/>
  <c r="G11"/>
  <c r="L10"/>
  <c r="I10"/>
  <c r="G10"/>
  <c r="L9"/>
  <c r="J9"/>
  <c r="I9"/>
  <c r="G9"/>
  <c r="J8"/>
  <c r="I8"/>
  <c r="H8"/>
  <c r="G8"/>
  <c r="L7"/>
  <c r="J7"/>
  <c r="I7"/>
  <c r="G7"/>
  <c r="L6"/>
  <c r="J6"/>
  <c r="I6"/>
  <c r="G6"/>
  <c r="J5"/>
  <c r="H5"/>
  <c r="J4"/>
  <c r="I4"/>
  <c r="H4"/>
  <c r="G4"/>
  <c r="J3"/>
  <c r="H3"/>
  <c r="G3"/>
  <c r="J81" i="43"/>
  <c r="H81"/>
  <c r="L80"/>
  <c r="J80"/>
  <c r="I80"/>
  <c r="H80"/>
  <c r="G80"/>
  <c r="J79"/>
  <c r="I79"/>
  <c r="H79"/>
  <c r="G79"/>
  <c r="J76"/>
  <c r="I76"/>
  <c r="G76"/>
  <c r="J75"/>
  <c r="I75"/>
  <c r="G75"/>
  <c r="L74"/>
  <c r="J74"/>
  <c r="I74"/>
  <c r="G74"/>
  <c r="J73"/>
  <c r="H73"/>
  <c r="G73"/>
  <c r="L72"/>
  <c r="J72"/>
  <c r="I72"/>
  <c r="G72"/>
  <c r="L71"/>
  <c r="J71"/>
  <c r="I71"/>
  <c r="G71"/>
  <c r="L70"/>
  <c r="J70"/>
  <c r="I70"/>
  <c r="G70"/>
  <c r="L69"/>
  <c r="J69"/>
  <c r="I69"/>
  <c r="H69"/>
  <c r="G69"/>
  <c r="L68"/>
  <c r="J68"/>
  <c r="I68"/>
  <c r="G68"/>
  <c r="L67"/>
  <c r="J67"/>
  <c r="I67"/>
  <c r="G67"/>
  <c r="J64"/>
  <c r="H64"/>
  <c r="L63"/>
  <c r="J63"/>
  <c r="I63"/>
  <c r="G63"/>
  <c r="L62"/>
  <c r="J62"/>
  <c r="I62"/>
  <c r="G62"/>
  <c r="J61"/>
  <c r="H61"/>
  <c r="G61"/>
  <c r="L60"/>
  <c r="J60"/>
  <c r="I60"/>
  <c r="H60"/>
  <c r="G60"/>
  <c r="J59"/>
  <c r="I59"/>
  <c r="H59"/>
  <c r="G59"/>
  <c r="L56"/>
  <c r="J56"/>
  <c r="I56"/>
  <c r="G56"/>
  <c r="J55"/>
  <c r="I55"/>
  <c r="H55"/>
  <c r="G55"/>
  <c r="J54"/>
  <c r="H54"/>
  <c r="J53"/>
  <c r="I53"/>
  <c r="H53"/>
  <c r="G53"/>
  <c r="L52"/>
  <c r="J52"/>
  <c r="I52"/>
  <c r="G52"/>
  <c r="L51"/>
  <c r="J51"/>
  <c r="I51"/>
  <c r="G51"/>
  <c r="L50"/>
  <c r="J50"/>
  <c r="I50"/>
  <c r="G50"/>
  <c r="L46"/>
  <c r="J46"/>
  <c r="I46"/>
  <c r="H46"/>
  <c r="G46"/>
  <c r="J45"/>
  <c r="I45"/>
  <c r="H45"/>
  <c r="G45"/>
  <c r="J44"/>
  <c r="I44"/>
  <c r="H44"/>
  <c r="G44"/>
  <c r="L41"/>
  <c r="J41"/>
  <c r="I41"/>
  <c r="H41"/>
  <c r="G41"/>
  <c r="L40"/>
  <c r="J40"/>
  <c r="I40"/>
  <c r="H40"/>
  <c r="G40"/>
  <c r="L39"/>
  <c r="J39"/>
  <c r="I39"/>
  <c r="G39"/>
  <c r="J36"/>
  <c r="H36"/>
  <c r="G36"/>
  <c r="L35"/>
  <c r="J35"/>
  <c r="I35"/>
  <c r="G35"/>
  <c r="L34"/>
  <c r="J34"/>
  <c r="I34"/>
  <c r="G34"/>
  <c r="L33"/>
  <c r="J33"/>
  <c r="I33"/>
  <c r="G33"/>
  <c r="L32"/>
  <c r="J32"/>
  <c r="I32"/>
  <c r="H32"/>
  <c r="G32"/>
  <c r="L31"/>
  <c r="J31"/>
  <c r="I31"/>
  <c r="H31"/>
  <c r="G31"/>
  <c r="L30"/>
  <c r="J30"/>
  <c r="I30"/>
  <c r="G30"/>
  <c r="J27"/>
  <c r="H27"/>
  <c r="J26"/>
  <c r="I26"/>
  <c r="H26"/>
  <c r="G26"/>
  <c r="L25"/>
  <c r="J25"/>
  <c r="I25"/>
  <c r="G25"/>
  <c r="L24"/>
  <c r="J24"/>
  <c r="I24"/>
  <c r="G24"/>
  <c r="J23"/>
  <c r="I23"/>
  <c r="H23"/>
  <c r="G23"/>
  <c r="J22"/>
  <c r="H22"/>
  <c r="G22"/>
  <c r="L19"/>
  <c r="J19"/>
  <c r="I19"/>
  <c r="G19"/>
  <c r="L18"/>
  <c r="J18"/>
  <c r="I18"/>
  <c r="G18"/>
  <c r="J17"/>
  <c r="H17"/>
  <c r="J16"/>
  <c r="I16"/>
  <c r="H16"/>
  <c r="G16"/>
  <c r="L15"/>
  <c r="J15"/>
  <c r="I15"/>
  <c r="G15"/>
  <c r="L14"/>
  <c r="J14"/>
  <c r="I14"/>
  <c r="G14"/>
  <c r="J13"/>
  <c r="H13"/>
  <c r="G13"/>
  <c r="L12"/>
  <c r="J12"/>
  <c r="I12"/>
  <c r="G12"/>
  <c r="L9"/>
  <c r="J9"/>
  <c r="I9"/>
  <c r="H9"/>
  <c r="G9"/>
  <c r="J8"/>
  <c r="I8"/>
  <c r="H8"/>
  <c r="G8"/>
  <c r="J5"/>
  <c r="H5"/>
  <c r="L4"/>
  <c r="J4"/>
  <c r="I4"/>
  <c r="H4"/>
  <c r="G4"/>
  <c r="J3"/>
  <c r="I3"/>
  <c r="H3"/>
  <c r="G3"/>
  <c r="J216" i="42"/>
  <c r="I216"/>
  <c r="H216"/>
  <c r="G216"/>
  <c r="J215"/>
  <c r="I215"/>
  <c r="H215"/>
  <c r="G215"/>
  <c r="J214"/>
  <c r="I214"/>
  <c r="H214"/>
  <c r="G214"/>
  <c r="J213"/>
  <c r="H213"/>
  <c r="L212"/>
  <c r="J212"/>
  <c r="I212"/>
  <c r="H212"/>
  <c r="G212"/>
  <c r="L211"/>
  <c r="J211"/>
  <c r="I211"/>
  <c r="G211"/>
  <c r="L210"/>
  <c r="J210"/>
  <c r="I210"/>
  <c r="G210"/>
  <c r="L209"/>
  <c r="J209"/>
  <c r="I209"/>
  <c r="G209"/>
  <c r="J208"/>
  <c r="H208"/>
  <c r="G208"/>
  <c r="J205"/>
  <c r="I205"/>
  <c r="H205"/>
  <c r="G205"/>
  <c r="L204"/>
  <c r="J204"/>
  <c r="I204"/>
  <c r="G204"/>
  <c r="J203"/>
  <c r="I203"/>
  <c r="H203"/>
  <c r="G203"/>
  <c r="J202"/>
  <c r="H202"/>
  <c r="L201"/>
  <c r="J201"/>
  <c r="I201"/>
  <c r="H201"/>
  <c r="G201"/>
  <c r="L200"/>
  <c r="J200"/>
  <c r="I200"/>
  <c r="G200"/>
  <c r="L199"/>
  <c r="J199"/>
  <c r="I199"/>
  <c r="G199"/>
  <c r="L198"/>
  <c r="J198"/>
  <c r="I198"/>
  <c r="G198"/>
  <c r="L197"/>
  <c r="J197"/>
  <c r="I197"/>
  <c r="G197"/>
  <c r="J196"/>
  <c r="H196"/>
  <c r="G196"/>
  <c r="L193"/>
  <c r="J193"/>
  <c r="I193"/>
  <c r="G193"/>
  <c r="L192"/>
  <c r="J192"/>
  <c r="I192"/>
  <c r="G192"/>
  <c r="J191"/>
  <c r="I191"/>
  <c r="H191"/>
  <c r="G191"/>
  <c r="J190"/>
  <c r="H190"/>
  <c r="J189"/>
  <c r="I189"/>
  <c r="H189"/>
  <c r="G189"/>
  <c r="L188"/>
  <c r="J188"/>
  <c r="I188"/>
  <c r="G188"/>
  <c r="L187"/>
  <c r="J187"/>
  <c r="I187"/>
  <c r="G187"/>
  <c r="L186"/>
  <c r="J186"/>
  <c r="I186"/>
  <c r="G186"/>
  <c r="L185"/>
  <c r="J185"/>
  <c r="I185"/>
  <c r="G185"/>
  <c r="G184"/>
  <c r="L181"/>
  <c r="J181"/>
  <c r="I181"/>
  <c r="H181"/>
  <c r="G181"/>
  <c r="L180"/>
  <c r="J180"/>
  <c r="I180"/>
  <c r="G180"/>
  <c r="J179"/>
  <c r="I179"/>
  <c r="H179"/>
  <c r="G179"/>
  <c r="J178"/>
  <c r="I178"/>
  <c r="H178"/>
  <c r="G178"/>
  <c r="J177"/>
  <c r="H177"/>
  <c r="G177"/>
  <c r="J174"/>
  <c r="I174"/>
  <c r="H174"/>
  <c r="G174"/>
  <c r="J173"/>
  <c r="H173"/>
  <c r="L172"/>
  <c r="J172"/>
  <c r="I172"/>
  <c r="H172"/>
  <c r="G172"/>
  <c r="L171"/>
  <c r="J171"/>
  <c r="I171"/>
  <c r="G171"/>
  <c r="L170"/>
  <c r="J170"/>
  <c r="I170"/>
  <c r="G170"/>
  <c r="L169"/>
  <c r="J169"/>
  <c r="I169"/>
  <c r="G169"/>
  <c r="J168"/>
  <c r="H168"/>
  <c r="G168"/>
  <c r="J167"/>
  <c r="I167"/>
  <c r="H167"/>
  <c r="G167"/>
  <c r="J164"/>
  <c r="I164"/>
  <c r="H164"/>
  <c r="G164"/>
  <c r="J163"/>
  <c r="I163"/>
  <c r="H163"/>
  <c r="G163"/>
  <c r="J162"/>
  <c r="H162"/>
  <c r="L161"/>
  <c r="J161"/>
  <c r="I161"/>
  <c r="H161"/>
  <c r="G161"/>
  <c r="L160"/>
  <c r="J160"/>
  <c r="I160"/>
  <c r="G160"/>
  <c r="L159"/>
  <c r="J159"/>
  <c r="I159"/>
  <c r="G159"/>
  <c r="L158"/>
  <c r="J158"/>
  <c r="I158"/>
  <c r="G158"/>
  <c r="J157"/>
  <c r="H157"/>
  <c r="G157"/>
  <c r="L154"/>
  <c r="J154"/>
  <c r="I154"/>
  <c r="G154"/>
  <c r="J152"/>
  <c r="I152"/>
  <c r="H152"/>
  <c r="G152"/>
  <c r="J151"/>
  <c r="H151"/>
  <c r="L150"/>
  <c r="J150"/>
  <c r="I150"/>
  <c r="H150"/>
  <c r="G150"/>
  <c r="L149"/>
  <c r="J149"/>
  <c r="I149"/>
  <c r="G149"/>
  <c r="L148"/>
  <c r="J148"/>
  <c r="I148"/>
  <c r="G148"/>
  <c r="J146"/>
  <c r="H146"/>
  <c r="G146"/>
  <c r="J142"/>
  <c r="I142"/>
  <c r="H142"/>
  <c r="G142"/>
  <c r="J141"/>
  <c r="I141"/>
  <c r="H141"/>
  <c r="G141"/>
  <c r="L140"/>
  <c r="J140"/>
  <c r="I140"/>
  <c r="H140"/>
  <c r="G140"/>
  <c r="L139"/>
  <c r="J139"/>
  <c r="I139"/>
  <c r="G139"/>
  <c r="L138"/>
  <c r="J138"/>
  <c r="I138"/>
  <c r="G138"/>
  <c r="J136"/>
  <c r="I136"/>
  <c r="H136"/>
  <c r="G136"/>
  <c r="L135"/>
  <c r="J135"/>
  <c r="I135"/>
  <c r="H135"/>
  <c r="G135"/>
  <c r="J130"/>
  <c r="H130"/>
  <c r="J128"/>
  <c r="I128"/>
  <c r="H128"/>
  <c r="G128"/>
  <c r="L127"/>
  <c r="J127"/>
  <c r="I127"/>
  <c r="G127"/>
  <c r="L126"/>
  <c r="J126"/>
  <c r="I126"/>
  <c r="G126"/>
  <c r="J121"/>
  <c r="I121"/>
  <c r="H121"/>
  <c r="G121"/>
  <c r="J119"/>
  <c r="H119"/>
  <c r="L118"/>
  <c r="J118"/>
  <c r="I118"/>
  <c r="H118"/>
  <c r="G118"/>
  <c r="L117"/>
  <c r="J117"/>
  <c r="I117"/>
  <c r="G117"/>
  <c r="L116"/>
  <c r="J116"/>
  <c r="I116"/>
  <c r="G116"/>
  <c r="L115"/>
  <c r="J115"/>
  <c r="I115"/>
  <c r="G115"/>
  <c r="J114"/>
  <c r="H114"/>
  <c r="G114"/>
  <c r="J110"/>
  <c r="I110"/>
  <c r="H110"/>
  <c r="G110"/>
  <c r="J109"/>
  <c r="H109"/>
  <c r="J108"/>
  <c r="I108"/>
  <c r="H108"/>
  <c r="G108"/>
  <c r="L107"/>
  <c r="J107"/>
  <c r="I107"/>
  <c r="G107"/>
  <c r="L106"/>
  <c r="J106"/>
  <c r="I106"/>
  <c r="G106"/>
  <c r="L104"/>
  <c r="J104"/>
  <c r="I104"/>
  <c r="H104"/>
  <c r="G104"/>
  <c r="G103"/>
  <c r="L100"/>
  <c r="J100"/>
  <c r="I100"/>
  <c r="G100"/>
  <c r="J98"/>
  <c r="H98"/>
  <c r="J97"/>
  <c r="I97"/>
  <c r="H97"/>
  <c r="G97"/>
  <c r="L96"/>
  <c r="J96"/>
  <c r="I96"/>
  <c r="G96"/>
  <c r="L95"/>
  <c r="J95"/>
  <c r="I95"/>
  <c r="G95"/>
  <c r="L94"/>
  <c r="J94"/>
  <c r="I94"/>
  <c r="G94"/>
  <c r="G93"/>
  <c r="L90"/>
  <c r="J90"/>
  <c r="I90"/>
  <c r="G90"/>
  <c r="L89"/>
  <c r="J89"/>
  <c r="I89"/>
  <c r="G89"/>
  <c r="L88"/>
  <c r="J88"/>
  <c r="I88"/>
  <c r="H88"/>
  <c r="G88"/>
  <c r="J87"/>
  <c r="I87"/>
  <c r="H87"/>
  <c r="G87"/>
  <c r="J86"/>
  <c r="I86"/>
  <c r="H86"/>
  <c r="G86"/>
  <c r="J85"/>
  <c r="H85"/>
  <c r="J84"/>
  <c r="I84"/>
  <c r="H84"/>
  <c r="G84"/>
  <c r="L83"/>
  <c r="J83"/>
  <c r="I83"/>
  <c r="G83"/>
  <c r="L82"/>
  <c r="J82"/>
  <c r="I82"/>
  <c r="G82"/>
  <c r="G81"/>
  <c r="L78"/>
  <c r="J78"/>
  <c r="I78"/>
  <c r="G78"/>
  <c r="J75"/>
  <c r="I75"/>
  <c r="H75"/>
  <c r="G75"/>
  <c r="J74"/>
  <c r="H74"/>
  <c r="J73"/>
  <c r="I73"/>
  <c r="H73"/>
  <c r="G73"/>
  <c r="L72"/>
  <c r="J72"/>
  <c r="I72"/>
  <c r="G72"/>
  <c r="L71"/>
  <c r="J71"/>
  <c r="I71"/>
  <c r="G71"/>
  <c r="L70"/>
  <c r="J70"/>
  <c r="I70"/>
  <c r="G70"/>
  <c r="G67"/>
  <c r="J64"/>
  <c r="I64"/>
  <c r="H64"/>
  <c r="G64"/>
  <c r="J63"/>
  <c r="H63"/>
  <c r="L62"/>
  <c r="J62"/>
  <c r="I62"/>
  <c r="H62"/>
  <c r="G62"/>
  <c r="L61"/>
  <c r="J61"/>
  <c r="I61"/>
  <c r="G61"/>
  <c r="L60"/>
  <c r="J60"/>
  <c r="I60"/>
  <c r="G60"/>
  <c r="J58"/>
  <c r="H58"/>
  <c r="G58"/>
  <c r="J57"/>
  <c r="I57"/>
  <c r="H57"/>
  <c r="G57"/>
  <c r="J54"/>
  <c r="I54"/>
  <c r="H54"/>
  <c r="G54"/>
  <c r="J53"/>
  <c r="I53"/>
  <c r="H53"/>
  <c r="G53"/>
  <c r="J52"/>
  <c r="H52"/>
  <c r="L51"/>
  <c r="J51"/>
  <c r="I51"/>
  <c r="H51"/>
  <c r="G51"/>
  <c r="L50"/>
  <c r="J50"/>
  <c r="I50"/>
  <c r="G50"/>
  <c r="L49"/>
  <c r="J49"/>
  <c r="I49"/>
  <c r="G49"/>
  <c r="L48"/>
  <c r="J48"/>
  <c r="I48"/>
  <c r="G48"/>
  <c r="J47"/>
  <c r="I47"/>
  <c r="H47"/>
  <c r="G47"/>
  <c r="J44"/>
  <c r="I44"/>
  <c r="H44"/>
  <c r="G44"/>
  <c r="J43"/>
  <c r="I43"/>
  <c r="H43"/>
  <c r="G43"/>
  <c r="J42"/>
  <c r="H42"/>
  <c r="L41"/>
  <c r="J41"/>
  <c r="I41"/>
  <c r="H41"/>
  <c r="G41"/>
  <c r="L40"/>
  <c r="J40"/>
  <c r="I40"/>
  <c r="G40"/>
  <c r="L39"/>
  <c r="J39"/>
  <c r="I39"/>
  <c r="G39"/>
  <c r="L38"/>
  <c r="J38"/>
  <c r="I38"/>
  <c r="G38"/>
  <c r="J37"/>
  <c r="H37"/>
  <c r="G37"/>
  <c r="L34"/>
  <c r="J34"/>
  <c r="I34"/>
  <c r="G34"/>
  <c r="J33"/>
  <c r="I33"/>
  <c r="H33"/>
  <c r="G33"/>
  <c r="J32"/>
  <c r="H32"/>
  <c r="L31"/>
  <c r="J31"/>
  <c r="I31"/>
  <c r="H31"/>
  <c r="G31"/>
  <c r="L30"/>
  <c r="J30"/>
  <c r="I30"/>
  <c r="G30"/>
  <c r="L29"/>
  <c r="J29"/>
  <c r="I29"/>
  <c r="G29"/>
  <c r="L28"/>
  <c r="J28"/>
  <c r="I28"/>
  <c r="G28"/>
  <c r="L27"/>
  <c r="J27"/>
  <c r="I27"/>
  <c r="G27"/>
  <c r="J26"/>
  <c r="H26"/>
  <c r="G26"/>
  <c r="J23"/>
  <c r="I23"/>
  <c r="H23"/>
  <c r="G23"/>
  <c r="J22"/>
  <c r="I22"/>
  <c r="H22"/>
  <c r="G22"/>
  <c r="J21"/>
  <c r="H21"/>
  <c r="J20"/>
  <c r="I20"/>
  <c r="H20"/>
  <c r="G20"/>
  <c r="L19"/>
  <c r="J19"/>
  <c r="I19"/>
  <c r="G19"/>
  <c r="L18"/>
  <c r="J18"/>
  <c r="I18"/>
  <c r="G18"/>
  <c r="L17"/>
  <c r="J17"/>
  <c r="I17"/>
  <c r="G17"/>
  <c r="J16"/>
  <c r="H16"/>
  <c r="G16"/>
  <c r="J13"/>
  <c r="I13"/>
  <c r="G13"/>
  <c r="L12"/>
  <c r="J12"/>
  <c r="I12"/>
  <c r="G12"/>
  <c r="L11"/>
  <c r="J11"/>
  <c r="I11"/>
  <c r="G11"/>
  <c r="J10"/>
  <c r="I10"/>
  <c r="H10"/>
  <c r="G10"/>
  <c r="J9"/>
  <c r="H9"/>
  <c r="L8"/>
  <c r="J8"/>
  <c r="I8"/>
  <c r="H8"/>
  <c r="G8"/>
  <c r="L7"/>
  <c r="J7"/>
  <c r="I7"/>
  <c r="G7"/>
  <c r="L6"/>
  <c r="J6"/>
  <c r="I6"/>
  <c r="G6"/>
  <c r="L5"/>
  <c r="J5"/>
  <c r="I5"/>
  <c r="G5"/>
  <c r="L4"/>
  <c r="J4"/>
  <c r="I4"/>
  <c r="G4"/>
  <c r="J3"/>
  <c r="H3"/>
  <c r="G3"/>
  <c r="L80" i="41"/>
  <c r="L79"/>
  <c r="J79"/>
  <c r="I79"/>
  <c r="G79"/>
  <c r="L77"/>
  <c r="J77"/>
  <c r="I77"/>
  <c r="G77"/>
  <c r="J78"/>
  <c r="H78"/>
  <c r="L73"/>
  <c r="J73"/>
  <c r="I73"/>
  <c r="G73"/>
  <c r="J74"/>
  <c r="H74"/>
  <c r="L69"/>
  <c r="J69"/>
  <c r="I69"/>
  <c r="G69"/>
  <c r="J70"/>
  <c r="H70"/>
  <c r="J39"/>
  <c r="H39"/>
  <c r="L32"/>
  <c r="J32"/>
  <c r="I32"/>
  <c r="G32"/>
  <c r="J42"/>
  <c r="I42"/>
  <c r="H42"/>
  <c r="G42"/>
  <c r="L6"/>
  <c r="L3"/>
  <c r="J3"/>
  <c r="I3"/>
  <c r="G3"/>
  <c r="L11"/>
  <c r="J11"/>
  <c r="I11"/>
  <c r="G11"/>
  <c r="L12"/>
  <c r="J12"/>
  <c r="I12"/>
  <c r="G12"/>
  <c r="J9"/>
  <c r="I9"/>
  <c r="G9"/>
  <c r="L52"/>
  <c r="J52"/>
  <c r="I52"/>
  <c r="G52"/>
  <c r="L61"/>
  <c r="J61"/>
  <c r="I61"/>
  <c r="H61"/>
  <c r="G61"/>
  <c r="L60"/>
  <c r="J60"/>
  <c r="I60"/>
  <c r="G60"/>
  <c r="J63"/>
  <c r="H63"/>
  <c r="H55"/>
  <c r="H53"/>
  <c r="L51"/>
  <c r="J51"/>
  <c r="I51"/>
  <c r="G51"/>
  <c r="J47"/>
  <c r="H47"/>
  <c r="L46"/>
  <c r="J46"/>
  <c r="I46"/>
  <c r="G46"/>
  <c r="L45"/>
  <c r="J45"/>
  <c r="I45"/>
  <c r="G45"/>
  <c r="L44"/>
  <c r="J44"/>
  <c r="I44"/>
  <c r="G44"/>
  <c r="J43"/>
  <c r="I43"/>
  <c r="H43"/>
  <c r="G43"/>
  <c r="J37"/>
  <c r="I37"/>
  <c r="H37"/>
  <c r="G37"/>
  <c r="J36"/>
  <c r="I36"/>
  <c r="G36"/>
  <c r="J35"/>
  <c r="I35"/>
  <c r="H35"/>
  <c r="G35"/>
  <c r="L34"/>
  <c r="J34"/>
  <c r="I34"/>
  <c r="G34"/>
  <c r="L33"/>
  <c r="J33"/>
  <c r="I33"/>
  <c r="G33"/>
  <c r="J29"/>
  <c r="H29"/>
  <c r="L28"/>
  <c r="J28"/>
  <c r="I28"/>
  <c r="H28"/>
  <c r="G28"/>
  <c r="L27"/>
  <c r="J27"/>
  <c r="I27"/>
  <c r="G27"/>
  <c r="J24"/>
  <c r="H24"/>
  <c r="L23"/>
  <c r="J23"/>
  <c r="I23"/>
  <c r="G23"/>
  <c r="J22"/>
  <c r="I22"/>
  <c r="G22"/>
  <c r="L21"/>
  <c r="J21"/>
  <c r="H21"/>
  <c r="G21"/>
  <c r="L18"/>
  <c r="J18"/>
  <c r="I18"/>
  <c r="G18"/>
  <c r="J17"/>
  <c r="H17"/>
  <c r="L16"/>
  <c r="J16"/>
  <c r="I16"/>
  <c r="G16"/>
  <c r="J13"/>
  <c r="H13"/>
  <c r="J10"/>
  <c r="I10"/>
  <c r="H10"/>
  <c r="G10"/>
  <c r="L5"/>
  <c r="J5"/>
  <c r="I5"/>
  <c r="G5"/>
  <c r="J4"/>
  <c r="H4"/>
  <c r="M61" i="20"/>
  <c r="K61"/>
  <c r="J61"/>
  <c r="H61"/>
  <c r="M54" i="23"/>
  <c r="K54"/>
  <c r="J54"/>
  <c r="H54"/>
  <c r="M41"/>
  <c r="K41"/>
  <c r="J41"/>
  <c r="H41"/>
  <c r="M60" i="24"/>
  <c r="K60"/>
  <c r="J60"/>
  <c r="H60"/>
  <c r="K49"/>
  <c r="J49"/>
  <c r="K53"/>
  <c r="J53"/>
  <c r="K61"/>
  <c r="J61"/>
  <c r="K52"/>
  <c r="J52"/>
  <c r="H52"/>
  <c r="K50"/>
  <c r="J50"/>
  <c r="I50"/>
  <c r="H50"/>
  <c r="K55" i="23"/>
  <c r="J55"/>
  <c r="K51"/>
  <c r="J51"/>
  <c r="I51"/>
  <c r="H51"/>
  <c r="K50"/>
  <c r="J50"/>
  <c r="H50"/>
  <c r="M49"/>
  <c r="K49"/>
  <c r="J49"/>
  <c r="I49"/>
  <c r="H49"/>
  <c r="K46"/>
  <c r="I46"/>
  <c r="K45"/>
  <c r="J45"/>
  <c r="I45"/>
  <c r="H45"/>
  <c r="K44"/>
  <c r="J44"/>
  <c r="I44"/>
  <c r="H44"/>
  <c r="K48"/>
  <c r="J48"/>
  <c r="K47"/>
  <c r="J47"/>
  <c r="I47"/>
  <c r="H47"/>
  <c r="M44"/>
  <c r="K59" i="20"/>
  <c r="H66" l="1"/>
  <c r="K47"/>
  <c r="J47"/>
  <c r="I47"/>
  <c r="H47"/>
  <c r="J59"/>
  <c r="I59"/>
  <c r="H59"/>
  <c r="K46"/>
  <c r="M45"/>
  <c r="K45"/>
  <c r="J45"/>
  <c r="H45"/>
  <c r="K45" i="40"/>
  <c r="J45"/>
  <c r="I45"/>
  <c r="H45"/>
  <c r="L65"/>
  <c r="L61" i="39"/>
  <c r="M12" i="32"/>
  <c r="K12"/>
  <c r="J12"/>
  <c r="I12"/>
  <c r="H12"/>
  <c r="I61" i="39" l="1"/>
  <c r="I5" s="1"/>
  <c r="M61"/>
  <c r="M5" s="1"/>
  <c r="K61"/>
  <c r="K5" s="1"/>
  <c r="H61"/>
  <c r="H5" s="1"/>
  <c r="J61"/>
  <c r="J5" s="1"/>
  <c r="M65" i="40"/>
  <c r="M5" s="1"/>
  <c r="K65"/>
  <c r="K5" s="1"/>
  <c r="J65"/>
  <c r="J5" s="1"/>
  <c r="H65"/>
  <c r="H5" s="1"/>
  <c r="I65"/>
  <c r="I5" s="1"/>
  <c r="L77" i="31"/>
  <c r="L70" i="29"/>
  <c r="M63" i="34"/>
  <c r="M5" s="1"/>
  <c r="L63"/>
  <c r="K63"/>
  <c r="K5" s="1"/>
  <c r="J63"/>
  <c r="J5" s="1"/>
  <c r="I63"/>
  <c r="I5" s="1"/>
  <c r="H63"/>
  <c r="H5" s="1"/>
  <c r="M67" i="33"/>
  <c r="M5" s="1"/>
  <c r="L67"/>
  <c r="K67"/>
  <c r="K5" s="1"/>
  <c r="J67"/>
  <c r="J5" s="1"/>
  <c r="I67"/>
  <c r="I5" s="1"/>
  <c r="H67"/>
  <c r="H5" s="1"/>
  <c r="M59" i="32"/>
  <c r="M5" s="1"/>
  <c r="L59"/>
  <c r="K59"/>
  <c r="K5" s="1"/>
  <c r="J59"/>
  <c r="J5" s="1"/>
  <c r="I59"/>
  <c r="I5" s="1"/>
  <c r="H59"/>
  <c r="H5" s="1"/>
  <c r="L64" i="30"/>
  <c r="L64" i="28"/>
  <c r="K41" i="26"/>
  <c r="K47" i="25"/>
  <c r="J47"/>
  <c r="I47"/>
  <c r="H47"/>
  <c r="M44" i="26"/>
  <c r="K44"/>
  <c r="J44"/>
  <c r="I44"/>
  <c r="H44"/>
  <c r="L53" i="27"/>
  <c r="L58" i="26"/>
  <c r="K52" i="23"/>
  <c r="J52"/>
  <c r="I52"/>
  <c r="H52"/>
  <c r="M42"/>
  <c r="K42"/>
  <c r="J42"/>
  <c r="I42"/>
  <c r="H42"/>
  <c r="M49" i="20"/>
  <c r="K49"/>
  <c r="J49"/>
  <c r="I49"/>
  <c r="H49"/>
  <c r="J56" i="23" l="1"/>
  <c r="J7" s="1"/>
  <c r="H56"/>
  <c r="H7" s="1"/>
  <c r="M56"/>
  <c r="M7" s="1"/>
  <c r="H62" i="24"/>
  <c r="H6" s="1"/>
  <c r="J62"/>
  <c r="J6" s="1"/>
  <c r="M62"/>
  <c r="M6" s="1"/>
  <c r="I62"/>
  <c r="I6" s="1"/>
  <c r="K62"/>
  <c r="K6" s="1"/>
  <c r="I77" i="31"/>
  <c r="I5" s="1"/>
  <c r="J77"/>
  <c r="J5" s="1"/>
  <c r="M77"/>
  <c r="M5" s="1"/>
  <c r="H77"/>
  <c r="H5" s="1"/>
  <c r="K77"/>
  <c r="K5" s="1"/>
  <c r="I56" i="23"/>
  <c r="I7" s="1"/>
  <c r="K56"/>
  <c r="K7" s="1"/>
  <c r="K64" i="30"/>
  <c r="K5" s="1"/>
  <c r="M64"/>
  <c r="M5" s="1"/>
  <c r="H64"/>
  <c r="H5" s="1"/>
  <c r="I64"/>
  <c r="I5" s="1"/>
  <c r="J64"/>
  <c r="J5" s="1"/>
  <c r="M70" i="29"/>
  <c r="M5" s="1"/>
  <c r="H70"/>
  <c r="H5" s="1"/>
  <c r="K70"/>
  <c r="K5" s="1"/>
  <c r="I70"/>
  <c r="I5" s="1"/>
  <c r="J70"/>
  <c r="J5" s="1"/>
  <c r="M64" i="28"/>
  <c r="M5" s="1"/>
  <c r="K64"/>
  <c r="K5" s="1"/>
  <c r="H64"/>
  <c r="H5" s="1"/>
  <c r="J64"/>
  <c r="J5" s="1"/>
  <c r="I64"/>
  <c r="I5" s="1"/>
  <c r="I53" i="27"/>
  <c r="I5" s="1"/>
  <c r="J53"/>
  <c r="J5" s="1"/>
  <c r="M53"/>
  <c r="M5" s="1"/>
  <c r="H53"/>
  <c r="H5" s="1"/>
  <c r="K53"/>
  <c r="K5" s="1"/>
  <c r="J58" i="26"/>
  <c r="J6" s="1"/>
  <c r="H58"/>
  <c r="H6" s="1"/>
  <c r="I58"/>
  <c r="I6" s="1"/>
  <c r="K58"/>
  <c r="K6" s="1"/>
  <c r="M58"/>
  <c r="M6" s="1"/>
  <c r="I62" i="25"/>
  <c r="I6" s="1"/>
  <c r="K62"/>
  <c r="K6" s="1"/>
  <c r="J62"/>
  <c r="J6" s="1"/>
  <c r="H62"/>
  <c r="H6" s="1"/>
  <c r="M62"/>
  <c r="M6" s="1"/>
</calcChain>
</file>

<file path=xl/sharedStrings.xml><?xml version="1.0" encoding="utf-8"?>
<sst xmlns="http://schemas.openxmlformats.org/spreadsheetml/2006/main" count="1775" uniqueCount="259">
  <si>
    <t>1 день</t>
  </si>
  <si>
    <t>2 день</t>
  </si>
  <si>
    <t>3 день</t>
  </si>
  <si>
    <t>5 день</t>
  </si>
  <si>
    <t>Завтрак</t>
  </si>
  <si>
    <t>Обед</t>
  </si>
  <si>
    <t>Полдник</t>
  </si>
  <si>
    <t>Ужин</t>
  </si>
  <si>
    <t>Прием пищи</t>
  </si>
  <si>
    <t>Наименование                      блюда</t>
  </si>
  <si>
    <t>Выход блюда</t>
  </si>
  <si>
    <t>Пищевые вещества(гр.)</t>
  </si>
  <si>
    <t>белки</t>
  </si>
  <si>
    <t>жиры</t>
  </si>
  <si>
    <t>углеводы</t>
  </si>
  <si>
    <t>Энергетическая ценность(Ккал.)</t>
  </si>
  <si>
    <t>Витамин   С</t>
  </si>
  <si>
    <t>№        рецепт.</t>
  </si>
  <si>
    <t>2-й завтрак</t>
  </si>
  <si>
    <t>4 день</t>
  </si>
  <si>
    <t>Каша манная</t>
  </si>
  <si>
    <t>Крупа манная</t>
  </si>
  <si>
    <t>Молоко</t>
  </si>
  <si>
    <t>Масло слив.</t>
  </si>
  <si>
    <t>Сахар</t>
  </si>
  <si>
    <t>Чай с лимоном</t>
  </si>
  <si>
    <t>Чай заварка</t>
  </si>
  <si>
    <t>Лимон</t>
  </si>
  <si>
    <t>Мясо гов.</t>
  </si>
  <si>
    <t>Кол-во прод (гр)</t>
  </si>
  <si>
    <t>Брутто</t>
  </si>
  <si>
    <t>Нетто</t>
  </si>
  <si>
    <t>Капуста</t>
  </si>
  <si>
    <t>Картофель</t>
  </si>
  <si>
    <t>Лук</t>
  </si>
  <si>
    <t>Морковь</t>
  </si>
  <si>
    <t>Масло растит.</t>
  </si>
  <si>
    <t>Сметана</t>
  </si>
  <si>
    <t>Томатная паста</t>
  </si>
  <si>
    <t>Чеснок</t>
  </si>
  <si>
    <t>Компот</t>
  </si>
  <si>
    <t>Сухофрукты</t>
  </si>
  <si>
    <t>Пряники</t>
  </si>
  <si>
    <t>Рожки с маслом</t>
  </si>
  <si>
    <t>Чай с  сахаром</t>
  </si>
  <si>
    <t>крупа пшеничная</t>
  </si>
  <si>
    <t>молоко</t>
  </si>
  <si>
    <t>сахар</t>
  </si>
  <si>
    <t>масло слив.</t>
  </si>
  <si>
    <t>какао порошок</t>
  </si>
  <si>
    <t>яйцо</t>
  </si>
  <si>
    <t>мука</t>
  </si>
  <si>
    <t>картофель</t>
  </si>
  <si>
    <t>капуста</t>
  </si>
  <si>
    <t>лук репчатый</t>
  </si>
  <si>
    <t>морковь</t>
  </si>
  <si>
    <t>кисель</t>
  </si>
  <si>
    <t>сухофрукты</t>
  </si>
  <si>
    <t>мука пшен.</t>
  </si>
  <si>
    <t>дрожжи</t>
  </si>
  <si>
    <t>масло раст.</t>
  </si>
  <si>
    <t>вар.сгущ.</t>
  </si>
  <si>
    <t>чай-заварка</t>
  </si>
  <si>
    <t>сметана</t>
  </si>
  <si>
    <t>рис</t>
  </si>
  <si>
    <t>пшено</t>
  </si>
  <si>
    <t>шиповник</t>
  </si>
  <si>
    <t>сыр</t>
  </si>
  <si>
    <t>чеснок</t>
  </si>
  <si>
    <t>мясо говядины</t>
  </si>
  <si>
    <t>свекла</t>
  </si>
  <si>
    <t xml:space="preserve"> </t>
  </si>
  <si>
    <t>зелень</t>
  </si>
  <si>
    <t>Ленивые вареники</t>
  </si>
  <si>
    <t>творог</t>
  </si>
  <si>
    <t>вермишель</t>
  </si>
  <si>
    <t>кофейный напиток</t>
  </si>
  <si>
    <t>Суп харчо</t>
  </si>
  <si>
    <t>томат.паста</t>
  </si>
  <si>
    <t>колбаса</t>
  </si>
  <si>
    <t>повидло</t>
  </si>
  <si>
    <t>зеленый горошек</t>
  </si>
  <si>
    <t>6 день</t>
  </si>
  <si>
    <t>перловка</t>
  </si>
  <si>
    <t>крупа кукурузная</t>
  </si>
  <si>
    <t>рыба</t>
  </si>
  <si>
    <t>7день</t>
  </si>
  <si>
    <t>гречка</t>
  </si>
  <si>
    <t>9 день</t>
  </si>
  <si>
    <t>10 день</t>
  </si>
  <si>
    <t>8-й день</t>
  </si>
  <si>
    <t>мясо</t>
  </si>
  <si>
    <t>геркулес</t>
  </si>
  <si>
    <t>Энер-я цен-ть(Ккал.)</t>
  </si>
  <si>
    <t>3-й день</t>
  </si>
  <si>
    <t>1-й день</t>
  </si>
  <si>
    <t>2-й день</t>
  </si>
  <si>
    <t>4-й день</t>
  </si>
  <si>
    <t>5-й день</t>
  </si>
  <si>
    <t>7-й день</t>
  </si>
  <si>
    <t>9-й день</t>
  </si>
  <si>
    <t>10-й день</t>
  </si>
  <si>
    <t>11 день</t>
  </si>
  <si>
    <t>крупа ячневая</t>
  </si>
  <si>
    <t>12-день</t>
  </si>
  <si>
    <t>Пельмени</t>
  </si>
  <si>
    <t>13-день</t>
  </si>
  <si>
    <t>Суп свекольный</t>
  </si>
  <si>
    <t>Рис отварной</t>
  </si>
  <si>
    <t>маргарин</t>
  </si>
  <si>
    <t>Сырники творожные</t>
  </si>
  <si>
    <t>Суп вермишелевый с фрикадельками</t>
  </si>
  <si>
    <t>15день</t>
  </si>
  <si>
    <t>Каша ячневая</t>
  </si>
  <si>
    <t>Пирожки с картошкой</t>
  </si>
  <si>
    <t>Суп крестьянский</t>
  </si>
  <si>
    <t>14день</t>
  </si>
  <si>
    <t>11-й день</t>
  </si>
  <si>
    <t>15-й день</t>
  </si>
  <si>
    <t>14-й день</t>
  </si>
  <si>
    <t>13-й день</t>
  </si>
  <si>
    <t>12-й день</t>
  </si>
  <si>
    <t>Гуляш</t>
  </si>
  <si>
    <t>Гречка с маслом</t>
  </si>
  <si>
    <t>Чай с молоком</t>
  </si>
  <si>
    <t>Лук зеленый</t>
  </si>
  <si>
    <t xml:space="preserve">  Фасоль</t>
  </si>
  <si>
    <t>Макароны  с маслом</t>
  </si>
  <si>
    <t>Порционная рыба</t>
  </si>
  <si>
    <t>Хлеб ржано-пшен.</t>
  </si>
  <si>
    <t>Яблоко</t>
  </si>
  <si>
    <t>Сухари</t>
  </si>
  <si>
    <t>Каша пшеничная</t>
  </si>
  <si>
    <t>Повидло</t>
  </si>
  <si>
    <t>Мясо птицы</t>
  </si>
  <si>
    <t>Вермишель</t>
  </si>
  <si>
    <t>Салат из белокачанной капусты</t>
  </si>
  <si>
    <t>Суп вермишелевый на курином бульоне</t>
  </si>
  <si>
    <t>Плов</t>
  </si>
  <si>
    <t>Баранки</t>
  </si>
  <si>
    <t>Творожная запеканка</t>
  </si>
  <si>
    <t>крупа манная</t>
  </si>
  <si>
    <t>Картофельное пюре</t>
  </si>
  <si>
    <t>Мясные биточки</t>
  </si>
  <si>
    <t>масло растит.</t>
  </si>
  <si>
    <t>Томатный соус</t>
  </si>
  <si>
    <t>Крекер</t>
  </si>
  <si>
    <t>Кисель</t>
  </si>
  <si>
    <t>Омлет натуральный</t>
  </si>
  <si>
    <t>Чай с сахаром</t>
  </si>
  <si>
    <t>Каша рябчик</t>
  </si>
  <si>
    <t xml:space="preserve">Суп ячневый </t>
  </si>
  <si>
    <t>Салат из зеленого горошка</t>
  </si>
  <si>
    <t>Салат картофельный</t>
  </si>
  <si>
    <t>Огурцы свежие порционные</t>
  </si>
  <si>
    <t>Салат витаминный</t>
  </si>
  <si>
    <t>Сложный гарнир</t>
  </si>
  <si>
    <t>Овощное рагу</t>
  </si>
  <si>
    <t>конс.  фасоль</t>
  </si>
  <si>
    <t>Тефтели</t>
  </si>
  <si>
    <t>Мясной рулет</t>
  </si>
  <si>
    <t>Ленивые голубцы</t>
  </si>
  <si>
    <t>Порционные куриные голени</t>
  </si>
  <si>
    <t>куринные голени</t>
  </si>
  <si>
    <t>Рогалики с вареной сгущенкой</t>
  </si>
  <si>
    <t>Кулебяка</t>
  </si>
  <si>
    <t>Молочный соус</t>
  </si>
  <si>
    <t>Пицца</t>
  </si>
  <si>
    <t>Омлет натуральный с колбасой</t>
  </si>
  <si>
    <t>Каша пшенная</t>
  </si>
  <si>
    <t>Суп молочный вермишелевый</t>
  </si>
  <si>
    <t>Каша дружба</t>
  </si>
  <si>
    <t>Каша рисовая</t>
  </si>
  <si>
    <t>Каша кукурузная</t>
  </si>
  <si>
    <t>Каша геркулесовая</t>
  </si>
  <si>
    <t>Кулеш пшенный</t>
  </si>
  <si>
    <t xml:space="preserve">Каша жидкая  молочная гречневая </t>
  </si>
  <si>
    <t>Чай с шиповником</t>
  </si>
  <si>
    <t>Какао</t>
  </si>
  <si>
    <t>Кофейный напиток</t>
  </si>
  <si>
    <t>Сок</t>
  </si>
  <si>
    <t>Кисель-компот</t>
  </si>
  <si>
    <t>Кефир</t>
  </si>
  <si>
    <t>Чай с молоком и сахаром</t>
  </si>
  <si>
    <t>Вафли</t>
  </si>
  <si>
    <t>Печенье</t>
  </si>
  <si>
    <t>Батон</t>
  </si>
  <si>
    <t>Булочка "Детская"</t>
  </si>
  <si>
    <t>Вареная сгущенка</t>
  </si>
  <si>
    <t>Сыр</t>
  </si>
  <si>
    <t>Масло сливочное</t>
  </si>
  <si>
    <t>Суп с клецками</t>
  </si>
  <si>
    <t>Суп гороховый</t>
  </si>
  <si>
    <t>Гренки</t>
  </si>
  <si>
    <t>Суп лапша</t>
  </si>
  <si>
    <t>Бабушкин суп</t>
  </si>
  <si>
    <t>Суп кудрявый</t>
  </si>
  <si>
    <t>Суп ячневый на к/б.</t>
  </si>
  <si>
    <t>Яйцо</t>
  </si>
  <si>
    <t>Салат из свеклы</t>
  </si>
  <si>
    <t>Салат "Зимний"</t>
  </si>
  <si>
    <t>Слат из морской капусты</t>
  </si>
  <si>
    <t>Салат из свежих огурцов</t>
  </si>
  <si>
    <t>Салат из свежих помидор</t>
  </si>
  <si>
    <t>Капуста тушенная</t>
  </si>
  <si>
    <t>Рыбная запеканка</t>
  </si>
  <si>
    <t>Рис</t>
  </si>
  <si>
    <t>Хлеб пшеничный 1 сорт</t>
  </si>
  <si>
    <t>Перловка</t>
  </si>
  <si>
    <t>Лук репчатый</t>
  </si>
  <si>
    <t>Чай-заварка</t>
  </si>
  <si>
    <t>Масло раст.</t>
  </si>
  <si>
    <t>Щи из свежей капусты</t>
  </si>
  <si>
    <t>Мясо</t>
  </si>
  <si>
    <t>Зелень</t>
  </si>
  <si>
    <t>Хлеб рж-пшен.</t>
  </si>
  <si>
    <t>Творог</t>
  </si>
  <si>
    <t>Конс.кукуруза</t>
  </si>
  <si>
    <t>Салат из консервированной кукурузы</t>
  </si>
  <si>
    <t>Зеленый горошек</t>
  </si>
  <si>
    <t>Салат из папоротника</t>
  </si>
  <si>
    <t>Папоротник</t>
  </si>
  <si>
    <t>Свекла</t>
  </si>
  <si>
    <t>Курица</t>
  </si>
  <si>
    <t>Морская капуста</t>
  </si>
  <si>
    <t>Винегрет овощной</t>
  </si>
  <si>
    <t>Огурцы соленые</t>
  </si>
  <si>
    <t>Огурцы свежие</t>
  </si>
  <si>
    <t xml:space="preserve">Огурцы свежие </t>
  </si>
  <si>
    <t xml:space="preserve">Томаты </t>
  </si>
  <si>
    <t>Суп овощной с фасолью</t>
  </si>
  <si>
    <t>Суп рыбный из консервов</t>
  </si>
  <si>
    <t>Консервы из рыбы</t>
  </si>
  <si>
    <t>Крупа ячневая</t>
  </si>
  <si>
    <t>Борщ украинский на м/б со сметаной</t>
  </si>
  <si>
    <t>Мясо говядины</t>
  </si>
  <si>
    <t>Томат.паста</t>
  </si>
  <si>
    <t>Суп картофельный</t>
  </si>
  <si>
    <t>Горох</t>
  </si>
  <si>
    <t>Суп" Ессентуковский"</t>
  </si>
  <si>
    <t>Лапша</t>
  </si>
  <si>
    <t>Мука</t>
  </si>
  <si>
    <t>Рассольник с мясом и сметаной</t>
  </si>
  <si>
    <t>Огурцв соленые</t>
  </si>
  <si>
    <t>Чай сладкий</t>
  </si>
  <si>
    <t>Икра кабачковая</t>
  </si>
  <si>
    <t>Хлеб ржано-пшеничный</t>
  </si>
  <si>
    <t>Жаркое по-домашнему</t>
  </si>
  <si>
    <t>говядина тушенная</t>
  </si>
  <si>
    <t>Горошница с маслом</t>
  </si>
  <si>
    <t>Песочное печенье</t>
  </si>
  <si>
    <t>Овощи тушенные с мясом</t>
  </si>
  <si>
    <t>мясо гов.</t>
  </si>
  <si>
    <t>,</t>
  </si>
  <si>
    <t>**,</t>
  </si>
  <si>
    <t>,,,,,,,,,,,,,</t>
  </si>
  <si>
    <t>Сок фруктовый</t>
  </si>
  <si>
    <t>Каша перловая с мясом</t>
  </si>
  <si>
    <t>Суп Полевой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</si>
</sst>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00"/>
    <numFmt numFmtId="165" formatCode="#,##0.00_ ;\-#,##0.00\ 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1" xfId="0" applyBorder="1"/>
    <xf numFmtId="0" fontId="2" fillId="0" borderId="1" xfId="0" applyFont="1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1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 applyAlignment="1"/>
    <xf numFmtId="164" fontId="0" fillId="0" borderId="1" xfId="0" applyNumberFormat="1" applyBorder="1" applyAlignment="1"/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4" xfId="0" applyNumberFormat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0" fontId="0" fillId="0" borderId="9" xfId="0" applyBorder="1" applyAlignment="1"/>
    <xf numFmtId="2" fontId="0" fillId="0" borderId="1" xfId="0" applyNumberFormat="1" applyBorder="1" applyAlignment="1"/>
    <xf numFmtId="0" fontId="1" fillId="0" borderId="7" xfId="0" applyFont="1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164" fontId="0" fillId="0" borderId="7" xfId="0" applyNumberFormat="1" applyBorder="1" applyAlignment="1"/>
    <xf numFmtId="164" fontId="0" fillId="0" borderId="9" xfId="0" applyNumberFormat="1" applyBorder="1" applyAlignment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Font="1" applyBorder="1" applyAlignment="1"/>
    <xf numFmtId="0" fontId="0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/>
    </xf>
    <xf numFmtId="1" fontId="0" fillId="0" borderId="1" xfId="0" applyNumberFormat="1" applyBorder="1" applyAlignment="1"/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0" fillId="0" borderId="7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0" fontId="0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0" fillId="0" borderId="7" xfId="0" applyBorder="1" applyAlignment="1"/>
    <xf numFmtId="0" fontId="0" fillId="0" borderId="8" xfId="0" applyFont="1" applyBorder="1" applyAlignment="1"/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0" fillId="0" borderId="7" xfId="0" applyBorder="1" applyAlignment="1"/>
    <xf numFmtId="0" fontId="0" fillId="0" borderId="8" xfId="0" applyFont="1" applyBorder="1" applyAlignment="1"/>
    <xf numFmtId="0" fontId="0" fillId="0" borderId="8" xfId="0" applyBorder="1" applyAlignment="1"/>
    <xf numFmtId="0" fontId="1" fillId="0" borderId="6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0" xfId="0" applyNumberFormat="1"/>
    <xf numFmtId="0" fontId="1" fillId="0" borderId="1" xfId="0" applyNumberFormat="1" applyFont="1" applyBorder="1" applyAlignment="1"/>
    <xf numFmtId="0" fontId="0" fillId="0" borderId="0" xfId="0" applyNumberFormat="1" applyAlignment="1"/>
    <xf numFmtId="0" fontId="0" fillId="0" borderId="1" xfId="0" applyNumberForma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2" fontId="0" fillId="0" borderId="4" xfId="0" applyNumberFormat="1" applyBorder="1" applyAlignment="1">
      <alignment vertical="center"/>
    </xf>
    <xf numFmtId="0" fontId="0" fillId="0" borderId="8" xfId="0" applyBorder="1" applyAlignment="1"/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0" fillId="0" borderId="9" xfId="0" applyNumberForma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8" xfId="0" applyBorder="1" applyAlignment="1"/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10" xfId="0" applyBorder="1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 applyAlignment="1"/>
    <xf numFmtId="2" fontId="1" fillId="0" borderId="7" xfId="0" applyNumberFormat="1" applyFont="1" applyBorder="1" applyAlignment="1"/>
    <xf numFmtId="2" fontId="1" fillId="0" borderId="9" xfId="0" applyNumberFormat="1" applyFont="1" applyBorder="1" applyAlignment="1"/>
    <xf numFmtId="44" fontId="1" fillId="0" borderId="7" xfId="1" applyFont="1" applyBorder="1" applyAlignment="1"/>
    <xf numFmtId="44" fontId="1" fillId="0" borderId="8" xfId="1" applyFont="1" applyBorder="1" applyAlignment="1"/>
    <xf numFmtId="165" fontId="1" fillId="0" borderId="7" xfId="1" applyNumberFormat="1" applyFont="1" applyBorder="1" applyAlignment="1"/>
    <xf numFmtId="165" fontId="1" fillId="0" borderId="9" xfId="1" applyNumberFormat="1" applyFont="1" applyBorder="1" applyAlignment="1"/>
    <xf numFmtId="165" fontId="1" fillId="0" borderId="1" xfId="1" applyNumberFormat="1" applyFont="1" applyBorder="1" applyAlignment="1"/>
    <xf numFmtId="44" fontId="1" fillId="0" borderId="9" xfId="1" applyFont="1" applyBorder="1" applyAlignment="1"/>
    <xf numFmtId="0" fontId="1" fillId="0" borderId="1" xfId="0" applyFont="1" applyBorder="1" applyAlignment="1"/>
    <xf numFmtId="164" fontId="1" fillId="0" borderId="7" xfId="0" applyNumberFormat="1" applyFont="1" applyBorder="1" applyAlignment="1"/>
    <xf numFmtId="164" fontId="1" fillId="0" borderId="9" xfId="0" applyNumberFormat="1" applyFont="1" applyBorder="1" applyAlignment="1"/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Font="1" applyBorder="1" applyAlignment="1"/>
    <xf numFmtId="0" fontId="0" fillId="0" borderId="8" xfId="0" applyBorder="1" applyAlignment="1"/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2" fontId="0" fillId="0" borderId="7" xfId="0" applyNumberFormat="1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3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2" fontId="0" fillId="0" borderId="4" xfId="0" applyNumberFormat="1" applyBorder="1" applyAlignment="1">
      <alignment vertical="center"/>
    </xf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1" fillId="0" borderId="7" xfId="0" applyFont="1" applyBorder="1" applyAlignment="1">
      <alignment horizontal="center"/>
    </xf>
    <xf numFmtId="164" fontId="1" fillId="0" borderId="1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left"/>
    </xf>
    <xf numFmtId="0" fontId="0" fillId="0" borderId="1" xfId="0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7" xfId="0" applyNumberFormat="1" applyBorder="1" applyAlignment="1">
      <alignment horizontal="left" vertical="center"/>
    </xf>
    <xf numFmtId="2" fontId="0" fillId="0" borderId="9" xfId="0" applyNumberForma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2" fontId="0" fillId="0" borderId="7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66"/>
  <sheetViews>
    <sheetView topLeftCell="A46" zoomScaleNormal="100" workbookViewId="0">
      <selection activeCell="B59" sqref="B59:N59"/>
    </sheetView>
  </sheetViews>
  <sheetFormatPr defaultRowHeight="15"/>
  <cols>
    <col min="1" max="1" width="13" customWidth="1"/>
    <col min="4" max="4" width="6.28515625" customWidth="1"/>
    <col min="12" max="12" width="2.7109375" customWidth="1"/>
  </cols>
  <sheetData>
    <row r="2" spans="1:14" ht="21">
      <c r="F2" s="50" t="s">
        <v>95</v>
      </c>
    </row>
    <row r="3" spans="1:14" ht="15.75" thickBot="1"/>
    <row r="4" spans="1:14" ht="15.75" thickBot="1">
      <c r="A4" s="293" t="s">
        <v>8</v>
      </c>
      <c r="B4" s="299" t="s">
        <v>9</v>
      </c>
      <c r="C4" s="300"/>
      <c r="D4" s="300"/>
      <c r="E4" s="303" t="s">
        <v>29</v>
      </c>
      <c r="F4" s="304"/>
      <c r="G4" s="289" t="s">
        <v>10</v>
      </c>
      <c r="H4" s="305" t="s">
        <v>11</v>
      </c>
      <c r="I4" s="305"/>
      <c r="J4" s="305"/>
      <c r="K4" s="289" t="s">
        <v>93</v>
      </c>
      <c r="L4" s="289"/>
      <c r="M4" s="289" t="s">
        <v>16</v>
      </c>
      <c r="N4" s="289" t="s">
        <v>17</v>
      </c>
    </row>
    <row r="5" spans="1:14" ht="15.75" thickBot="1">
      <c r="A5" s="295"/>
      <c r="B5" s="301"/>
      <c r="C5" s="302"/>
      <c r="D5" s="302"/>
      <c r="E5" s="184" t="s">
        <v>30</v>
      </c>
      <c r="F5" s="184" t="s">
        <v>31</v>
      </c>
      <c r="G5" s="290"/>
      <c r="H5" s="185" t="s">
        <v>12</v>
      </c>
      <c r="I5" s="185" t="s">
        <v>13</v>
      </c>
      <c r="J5" s="185" t="s">
        <v>14</v>
      </c>
      <c r="K5" s="290"/>
      <c r="L5" s="290"/>
      <c r="M5" s="290"/>
      <c r="N5" s="290"/>
    </row>
    <row r="6" spans="1:14" ht="15.75" thickBot="1">
      <c r="A6" s="2" t="s">
        <v>0</v>
      </c>
      <c r="B6" s="9"/>
      <c r="C6" s="10"/>
      <c r="D6" s="10"/>
      <c r="E6" s="10"/>
      <c r="F6" s="10"/>
      <c r="G6" s="15"/>
      <c r="H6" s="74">
        <f>H8+H10+H11+H13+H14+H16+H17+H19+H20+H21+H22+H23+H24+H26+H27+H28+H29+H31+H32+H35+H36+H38+H39+H40+H41+H42+H43+H45+H47+H48+H49+H51+H52+H53+H54+H55+H57+H58+H59+H61</f>
        <v>49.179749999999991</v>
      </c>
      <c r="I6" s="74">
        <f>I8+I10+I11+I16+I17+I19+I24+I25+I26+I31+I32+I33+I35+I36+I37+I40+I43+I47+I48+I49+I51+I55+I56+I57+I58+I59+I61</f>
        <v>71.627099999999984</v>
      </c>
      <c r="J6" s="74">
        <f>J8+J9+J10+J11+J13+J14+J15+J16+J17+J20+J21+J22+J23+J24+J26+J27+J28+J29+J31+J32+J36+J38+J39+J40+J41+J42+J43+J45+J46+J47+J48+J49+J52+J53+J54+J55+J57+J58+J59+J61+J62</f>
        <v>196.95680000000007</v>
      </c>
      <c r="K6" s="291">
        <f>K8+K9+K10+K11+K13+K14+K15+K16+K17+K19+K20+K21+K22+K23+K24+K25+K26+K27+K28+K29+K31+K32+K33+K35+K36+K37+K38+K39+K40+K41+K43+K45+K46+K47+K48+K49+K51+K52+K53+K54+K55+K56+K57+K58+K59+K61+K62</f>
        <v>1639.33755</v>
      </c>
      <c r="L6" s="292"/>
      <c r="M6" s="74">
        <f>M10+M11+M13+M14+M20+M21+M22+M23+M24+M27+M28+M32+M38+M39+M41+M42+M45+M49+M52+M53+M54+M61</f>
        <v>30.540400000000002</v>
      </c>
      <c r="N6" s="15"/>
    </row>
    <row r="7" spans="1:14" ht="15.75" thickBot="1">
      <c r="A7" s="296" t="s">
        <v>4</v>
      </c>
      <c r="B7" s="278" t="s">
        <v>169</v>
      </c>
      <c r="C7" s="279"/>
      <c r="D7" s="279"/>
      <c r="E7" s="279"/>
      <c r="F7" s="298"/>
      <c r="G7" s="242">
        <v>200</v>
      </c>
      <c r="H7" s="243"/>
      <c r="I7" s="243"/>
      <c r="J7" s="243"/>
      <c r="K7" s="7"/>
      <c r="L7" s="8"/>
      <c r="M7" s="243"/>
      <c r="N7" s="243"/>
    </row>
    <row r="8" spans="1:14" ht="15.75" thickBot="1">
      <c r="A8" s="297"/>
      <c r="B8" s="280" t="s">
        <v>65</v>
      </c>
      <c r="C8" s="281"/>
      <c r="D8" s="281"/>
      <c r="E8" s="243">
        <v>25</v>
      </c>
      <c r="F8" s="243">
        <v>25</v>
      </c>
      <c r="G8" s="243"/>
      <c r="H8" s="243">
        <f>11.5/100*25</f>
        <v>2.875</v>
      </c>
      <c r="I8" s="243">
        <f>3.3/100*25</f>
        <v>0.82500000000000007</v>
      </c>
      <c r="J8" s="243">
        <f>65.5/100*25</f>
        <v>16.375</v>
      </c>
      <c r="K8" s="89">
        <f>348/100*25</f>
        <v>87</v>
      </c>
      <c r="L8" s="8"/>
      <c r="M8" s="243">
        <v>0</v>
      </c>
      <c r="N8" s="243"/>
    </row>
    <row r="9" spans="1:14" ht="15.75" thickBot="1">
      <c r="A9" s="297"/>
      <c r="B9" s="280" t="s">
        <v>47</v>
      </c>
      <c r="C9" s="281"/>
      <c r="D9" s="281"/>
      <c r="E9" s="243">
        <v>5</v>
      </c>
      <c r="F9" s="243">
        <v>5</v>
      </c>
      <c r="G9" s="243"/>
      <c r="H9" s="243">
        <v>0</v>
      </c>
      <c r="I9" s="243">
        <v>0</v>
      </c>
      <c r="J9" s="243">
        <f>100/100*5</f>
        <v>5</v>
      </c>
      <c r="K9" s="89">
        <f>400/100*5</f>
        <v>20</v>
      </c>
      <c r="L9" s="8"/>
      <c r="M9" s="243">
        <v>0</v>
      </c>
      <c r="N9" s="243"/>
    </row>
    <row r="10" spans="1:14" ht="15.75" thickBot="1">
      <c r="A10" s="297"/>
      <c r="B10" s="280" t="s">
        <v>46</v>
      </c>
      <c r="C10" s="281"/>
      <c r="D10" s="281"/>
      <c r="E10" s="243">
        <v>150</v>
      </c>
      <c r="F10" s="243">
        <v>150</v>
      </c>
      <c r="G10" s="243"/>
      <c r="H10" s="243">
        <f>2.8/100*150</f>
        <v>4.1999999999999993</v>
      </c>
      <c r="I10" s="243">
        <f>2.5/100*150</f>
        <v>3.75</v>
      </c>
      <c r="J10" s="243">
        <f>4.7/100*150</f>
        <v>7.05</v>
      </c>
      <c r="K10" s="89">
        <f>55/100*150</f>
        <v>82.5</v>
      </c>
      <c r="L10" s="8"/>
      <c r="M10" s="243">
        <v>1.5</v>
      </c>
      <c r="N10" s="243"/>
    </row>
    <row r="11" spans="1:14" ht="15.75" thickBot="1">
      <c r="A11" s="297"/>
      <c r="B11" s="280" t="s">
        <v>48</v>
      </c>
      <c r="C11" s="281"/>
      <c r="D11" s="281"/>
      <c r="E11" s="243">
        <v>5</v>
      </c>
      <c r="F11" s="243">
        <v>5</v>
      </c>
      <c r="G11" s="243"/>
      <c r="H11" s="243">
        <f>0.4/100*5</f>
        <v>0.02</v>
      </c>
      <c r="I11" s="243">
        <f>78.5/100*5</f>
        <v>3.9250000000000003</v>
      </c>
      <c r="J11" s="243">
        <f>0.5/100*5</f>
        <v>2.5000000000000001E-2</v>
      </c>
      <c r="K11" s="218">
        <f>734/100*5</f>
        <v>36.700000000000003</v>
      </c>
      <c r="L11" s="238"/>
      <c r="M11" s="243">
        <f>0.6/100*5</f>
        <v>0.03</v>
      </c>
      <c r="N11" s="243"/>
    </row>
    <row r="12" spans="1:14" ht="15.75" thickBot="1">
      <c r="A12" s="297"/>
      <c r="B12" s="278" t="s">
        <v>177</v>
      </c>
      <c r="C12" s="279"/>
      <c r="D12" s="279"/>
      <c r="E12" s="239"/>
      <c r="F12" s="238"/>
      <c r="G12" s="242">
        <v>180</v>
      </c>
      <c r="H12" s="243"/>
      <c r="I12" s="243"/>
      <c r="J12" s="243"/>
      <c r="K12" s="7"/>
      <c r="L12" s="8"/>
      <c r="M12" s="26"/>
      <c r="N12" s="243"/>
    </row>
    <row r="13" spans="1:14" ht="15.75" thickBot="1">
      <c r="A13" s="297"/>
      <c r="B13" s="277" t="s">
        <v>62</v>
      </c>
      <c r="C13" s="277"/>
      <c r="D13" s="277"/>
      <c r="E13" s="243">
        <v>0.6</v>
      </c>
      <c r="F13" s="243">
        <v>0.6</v>
      </c>
      <c r="G13" s="243"/>
      <c r="H13" s="22">
        <f>20/100*0.6</f>
        <v>0.12</v>
      </c>
      <c r="I13" s="22">
        <v>0</v>
      </c>
      <c r="J13" s="22">
        <f>6.9/100*0.6</f>
        <v>4.1399999999999999E-2</v>
      </c>
      <c r="K13" s="250">
        <f>109/100*0.6</f>
        <v>0.65400000000000003</v>
      </c>
      <c r="L13" s="251"/>
      <c r="M13" s="4">
        <f>10/100*0.6</f>
        <v>0.06</v>
      </c>
      <c r="N13" s="243"/>
    </row>
    <row r="14" spans="1:14" ht="15.75" thickBot="1">
      <c r="A14" s="297"/>
      <c r="B14" s="280" t="s">
        <v>66</v>
      </c>
      <c r="C14" s="281"/>
      <c r="D14" s="281"/>
      <c r="E14" s="243">
        <v>1</v>
      </c>
      <c r="F14" s="243">
        <v>1</v>
      </c>
      <c r="G14" s="243"/>
      <c r="H14" s="3">
        <f>4/100*1</f>
        <v>0.04</v>
      </c>
      <c r="I14" s="3">
        <v>0</v>
      </c>
      <c r="J14" s="3">
        <f>60/100*1</f>
        <v>0.6</v>
      </c>
      <c r="K14" s="244">
        <f>253/100*1</f>
        <v>2.5299999999999998</v>
      </c>
      <c r="L14" s="247"/>
      <c r="M14" s="4">
        <f>15/100*1</f>
        <v>0.15</v>
      </c>
      <c r="N14" s="5"/>
    </row>
    <row r="15" spans="1:14" ht="15.75" thickBot="1">
      <c r="A15" s="297"/>
      <c r="B15" s="280" t="s">
        <v>47</v>
      </c>
      <c r="C15" s="281"/>
      <c r="D15" s="282"/>
      <c r="E15" s="243">
        <v>8</v>
      </c>
      <c r="F15" s="243">
        <v>8</v>
      </c>
      <c r="G15" s="243"/>
      <c r="H15" s="3">
        <v>0</v>
      </c>
      <c r="I15" s="3">
        <v>0</v>
      </c>
      <c r="J15" s="3">
        <f>100/100*8</f>
        <v>8</v>
      </c>
      <c r="K15" s="250">
        <f>400/100*8</f>
        <v>32</v>
      </c>
      <c r="L15" s="236"/>
      <c r="M15" s="4">
        <v>0</v>
      </c>
      <c r="N15" s="5"/>
    </row>
    <row r="16" spans="1:14" ht="15.75" thickBot="1">
      <c r="A16" s="297"/>
      <c r="B16" s="278" t="s">
        <v>207</v>
      </c>
      <c r="C16" s="279"/>
      <c r="D16" s="279"/>
      <c r="E16" s="198"/>
      <c r="F16" s="199"/>
      <c r="G16" s="70">
        <v>30</v>
      </c>
      <c r="H16" s="3">
        <f>7/100*30</f>
        <v>2.1</v>
      </c>
      <c r="I16" s="3">
        <f>1/100*30</f>
        <v>0.3</v>
      </c>
      <c r="J16" s="3">
        <f>47/100*30</f>
        <v>14.1</v>
      </c>
      <c r="K16" s="250">
        <f>230/100*30</f>
        <v>69</v>
      </c>
      <c r="L16" s="251"/>
      <c r="M16" s="4">
        <v>0</v>
      </c>
      <c r="N16" s="5"/>
    </row>
    <row r="17" spans="1:18" ht="15.75" thickBot="1">
      <c r="A17" s="297"/>
      <c r="B17" s="278" t="s">
        <v>188</v>
      </c>
      <c r="C17" s="279"/>
      <c r="D17" s="279"/>
      <c r="E17" s="198"/>
      <c r="F17" s="199"/>
      <c r="G17" s="70">
        <v>10</v>
      </c>
      <c r="H17" s="3">
        <f>7.7/100*10</f>
        <v>0.77</v>
      </c>
      <c r="I17" s="3">
        <f>8.5/100*10</f>
        <v>0.85000000000000009</v>
      </c>
      <c r="J17" s="3">
        <f>54.5/100*10</f>
        <v>5.45</v>
      </c>
      <c r="K17" s="250">
        <f>330/100*10</f>
        <v>33</v>
      </c>
      <c r="L17" s="251"/>
      <c r="M17" s="4">
        <v>0</v>
      </c>
      <c r="N17" s="5"/>
    </row>
    <row r="18" spans="1:18" ht="15.75" thickBot="1">
      <c r="A18" s="296" t="s">
        <v>5</v>
      </c>
      <c r="B18" s="278" t="s">
        <v>230</v>
      </c>
      <c r="C18" s="279"/>
      <c r="D18" s="279"/>
      <c r="E18" s="279"/>
      <c r="F18" s="298"/>
      <c r="G18" s="137">
        <v>250</v>
      </c>
      <c r="H18" s="3"/>
      <c r="I18" s="3"/>
      <c r="J18" s="3"/>
      <c r="K18" s="287"/>
      <c r="L18" s="288"/>
      <c r="M18" s="3"/>
      <c r="N18" s="66">
        <v>215</v>
      </c>
    </row>
    <row r="19" spans="1:18" ht="15.75" thickBot="1">
      <c r="A19" s="297"/>
      <c r="B19" s="280" t="s">
        <v>28</v>
      </c>
      <c r="C19" s="281"/>
      <c r="D19" s="282"/>
      <c r="E19" s="15">
        <v>20</v>
      </c>
      <c r="F19" s="15">
        <v>20</v>
      </c>
      <c r="G19" s="140"/>
      <c r="H19" s="3">
        <f>18.9/100*20</f>
        <v>3.7799999999999994</v>
      </c>
      <c r="I19" s="3">
        <f>12.4/100*20</f>
        <v>2.48</v>
      </c>
      <c r="J19" s="3">
        <v>0</v>
      </c>
      <c r="K19" s="250">
        <f>187/100*20</f>
        <v>37.400000000000006</v>
      </c>
      <c r="L19" s="251"/>
      <c r="M19" s="4">
        <v>0</v>
      </c>
      <c r="N19" s="5"/>
    </row>
    <row r="20" spans="1:18" ht="15.75" thickBot="1">
      <c r="A20" s="297"/>
      <c r="B20" s="280" t="s">
        <v>32</v>
      </c>
      <c r="C20" s="281"/>
      <c r="D20" s="282"/>
      <c r="E20" s="15">
        <v>43</v>
      </c>
      <c r="F20" s="15">
        <v>35</v>
      </c>
      <c r="G20" s="140"/>
      <c r="H20" s="3">
        <f>1.2/100*35</f>
        <v>0.42</v>
      </c>
      <c r="I20" s="3">
        <v>0</v>
      </c>
      <c r="J20" s="3">
        <f>4.1/100*35</f>
        <v>1.4349999999999998</v>
      </c>
      <c r="K20" s="244">
        <f>22/100*35</f>
        <v>7.7</v>
      </c>
      <c r="L20" s="247"/>
      <c r="M20" s="4">
        <f>24/100*35</f>
        <v>8.4</v>
      </c>
      <c r="N20" s="5"/>
      <c r="O20" s="67"/>
    </row>
    <row r="21" spans="1:18" ht="15.75" thickBot="1">
      <c r="A21" s="297"/>
      <c r="B21" s="280" t="s">
        <v>33</v>
      </c>
      <c r="C21" s="281"/>
      <c r="D21" s="282"/>
      <c r="E21" s="15">
        <v>50</v>
      </c>
      <c r="F21" s="15">
        <v>37.5</v>
      </c>
      <c r="G21" s="140"/>
      <c r="H21" s="3">
        <f>1.2/100*37.5</f>
        <v>0.45</v>
      </c>
      <c r="I21" s="3">
        <v>0</v>
      </c>
      <c r="J21" s="3">
        <f>14/100*37.5</f>
        <v>5.2500000000000009</v>
      </c>
      <c r="K21" s="244">
        <f>62/100*87.5</f>
        <v>54.25</v>
      </c>
      <c r="L21" s="247"/>
      <c r="M21" s="4">
        <f>7.5/100*37.5</f>
        <v>2.8125</v>
      </c>
      <c r="N21" s="5"/>
    </row>
    <row r="22" spans="1:18" ht="15.75" thickBot="1">
      <c r="A22" s="297"/>
      <c r="B22" s="280" t="s">
        <v>34</v>
      </c>
      <c r="C22" s="281"/>
      <c r="D22" s="282"/>
      <c r="E22" s="15">
        <v>7</v>
      </c>
      <c r="F22" s="15">
        <v>5</v>
      </c>
      <c r="G22" s="140"/>
      <c r="H22" s="3">
        <f>0.2/100*5</f>
        <v>0.01</v>
      </c>
      <c r="I22" s="3">
        <v>0</v>
      </c>
      <c r="J22" s="3">
        <f>10/100*5</f>
        <v>0.5</v>
      </c>
      <c r="K22" s="244">
        <f>42/100*5</f>
        <v>2.1</v>
      </c>
      <c r="L22" s="247"/>
      <c r="M22" s="4">
        <f>8.5/100*5</f>
        <v>0.42500000000000004</v>
      </c>
      <c r="N22" s="5"/>
    </row>
    <row r="23" spans="1:18" ht="15.75" thickBot="1">
      <c r="A23" s="297"/>
      <c r="B23" s="280" t="s">
        <v>35</v>
      </c>
      <c r="C23" s="281"/>
      <c r="D23" s="282"/>
      <c r="E23" s="15">
        <v>7</v>
      </c>
      <c r="F23" s="15">
        <v>5</v>
      </c>
      <c r="G23" s="140"/>
      <c r="H23" s="3">
        <f>1/100*5</f>
        <v>0.05</v>
      </c>
      <c r="I23" s="3">
        <v>0</v>
      </c>
      <c r="J23" s="3">
        <f>6.1/100*5</f>
        <v>0.30499999999999999</v>
      </c>
      <c r="K23" s="244">
        <f>29/100*5</f>
        <v>1.45</v>
      </c>
      <c r="L23" s="247"/>
      <c r="M23" s="4">
        <f>4/100*5</f>
        <v>0.2</v>
      </c>
      <c r="N23" s="5"/>
    </row>
    <row r="24" spans="1:18" ht="15.75" thickBot="1">
      <c r="A24" s="297"/>
      <c r="B24" s="280" t="s">
        <v>23</v>
      </c>
      <c r="C24" s="281"/>
      <c r="D24" s="282"/>
      <c r="E24" s="15">
        <v>2</v>
      </c>
      <c r="F24" s="15">
        <v>2</v>
      </c>
      <c r="G24" s="140"/>
      <c r="H24" s="3">
        <f>0.4/100*2</f>
        <v>8.0000000000000002E-3</v>
      </c>
      <c r="I24" s="3">
        <f>78.5/100*2</f>
        <v>1.57</v>
      </c>
      <c r="J24" s="3">
        <f>0.5/100*2</f>
        <v>0.01</v>
      </c>
      <c r="K24" s="244">
        <f>734/100*2</f>
        <v>14.68</v>
      </c>
      <c r="L24" s="247"/>
      <c r="M24" s="4">
        <f>0.6/100*2</f>
        <v>1.2E-2</v>
      </c>
      <c r="N24" s="5"/>
    </row>
    <row r="25" spans="1:18" ht="15.75" thickBot="1">
      <c r="A25" s="297"/>
      <c r="B25" s="280" t="s">
        <v>36</v>
      </c>
      <c r="C25" s="281"/>
      <c r="D25" s="282"/>
      <c r="E25" s="15">
        <v>2</v>
      </c>
      <c r="F25" s="15">
        <v>2</v>
      </c>
      <c r="G25" s="140"/>
      <c r="H25" s="3">
        <v>0</v>
      </c>
      <c r="I25" s="3">
        <f>99.9/100*2</f>
        <v>1.9980000000000002</v>
      </c>
      <c r="J25" s="3">
        <v>0</v>
      </c>
      <c r="K25" s="244">
        <f>900/100*2</f>
        <v>18</v>
      </c>
      <c r="L25" s="247"/>
      <c r="M25" s="4">
        <v>0</v>
      </c>
      <c r="N25" s="5"/>
    </row>
    <row r="26" spans="1:18" ht="15.75" thickBot="1">
      <c r="A26" s="297"/>
      <c r="B26" s="280" t="s">
        <v>37</v>
      </c>
      <c r="C26" s="281"/>
      <c r="D26" s="282"/>
      <c r="E26" s="15">
        <v>4</v>
      </c>
      <c r="F26" s="15">
        <v>4</v>
      </c>
      <c r="G26" s="140"/>
      <c r="H26" s="3">
        <f>2.6/100*8</f>
        <v>0.20800000000000002</v>
      </c>
      <c r="I26" s="3">
        <f>15/100*8</f>
        <v>1.2</v>
      </c>
      <c r="J26" s="3">
        <f>3.6/100*8</f>
        <v>0.28800000000000003</v>
      </c>
      <c r="K26" s="250">
        <f>160/100*8</f>
        <v>12.8</v>
      </c>
      <c r="L26" s="251"/>
      <c r="M26" s="4">
        <v>0</v>
      </c>
      <c r="N26" s="5"/>
    </row>
    <row r="27" spans="1:18" ht="15.75" thickBot="1">
      <c r="A27" s="297"/>
      <c r="B27" s="280" t="s">
        <v>38</v>
      </c>
      <c r="C27" s="281"/>
      <c r="D27" s="282"/>
      <c r="E27" s="15">
        <v>2</v>
      </c>
      <c r="F27" s="15">
        <v>2</v>
      </c>
      <c r="G27" s="140"/>
      <c r="H27" s="3">
        <f>2.2/100*4</f>
        <v>8.8000000000000009E-2</v>
      </c>
      <c r="I27" s="3">
        <v>0</v>
      </c>
      <c r="J27" s="3">
        <f>15.8/100*4</f>
        <v>0.63200000000000001</v>
      </c>
      <c r="K27" s="244">
        <f>63.2/100*4</f>
        <v>2.528</v>
      </c>
      <c r="L27" s="247"/>
      <c r="M27" s="4">
        <f>26/100*4</f>
        <v>1.04</v>
      </c>
      <c r="N27" s="5"/>
    </row>
    <row r="28" spans="1:18" ht="15.75" thickBot="1">
      <c r="A28" s="297"/>
      <c r="B28" s="64"/>
      <c r="C28" s="239" t="s">
        <v>125</v>
      </c>
      <c r="D28" s="219"/>
      <c r="E28" s="45">
        <v>5</v>
      </c>
      <c r="F28" s="45">
        <v>5</v>
      </c>
      <c r="G28" s="140"/>
      <c r="H28" s="3">
        <f>0.8/100*5</f>
        <v>0.04</v>
      </c>
      <c r="I28" s="3">
        <v>0</v>
      </c>
      <c r="J28" s="3">
        <f>3.3/100*5</f>
        <v>0.16500000000000001</v>
      </c>
      <c r="K28" s="244">
        <f>17/100*5</f>
        <v>0.85000000000000009</v>
      </c>
      <c r="L28" s="247"/>
      <c r="M28" s="4">
        <f>48/100*5</f>
        <v>2.4</v>
      </c>
      <c r="N28" s="5"/>
    </row>
    <row r="29" spans="1:18" ht="15.75" thickBot="1">
      <c r="A29" s="297"/>
      <c r="B29" s="280" t="s">
        <v>126</v>
      </c>
      <c r="C29" s="281"/>
      <c r="D29" s="282"/>
      <c r="E29" s="15">
        <v>7.5</v>
      </c>
      <c r="F29" s="15">
        <v>7.5</v>
      </c>
      <c r="G29" s="140"/>
      <c r="H29" s="3">
        <f>6.1/100*7.5</f>
        <v>0.45750000000000002</v>
      </c>
      <c r="I29" s="3">
        <v>0</v>
      </c>
      <c r="J29" s="3">
        <f>14.9/100*7.5</f>
        <v>1.1174999999999999</v>
      </c>
      <c r="K29" s="250">
        <f>84/100*7.5</f>
        <v>6.3</v>
      </c>
      <c r="L29" s="236"/>
      <c r="M29" s="4">
        <v>0</v>
      </c>
      <c r="N29" s="68"/>
      <c r="R29" s="41"/>
    </row>
    <row r="30" spans="1:18" ht="15.75" thickBot="1">
      <c r="A30" s="297"/>
      <c r="B30" s="278" t="s">
        <v>127</v>
      </c>
      <c r="C30" s="279"/>
      <c r="D30" s="279"/>
      <c r="E30" s="220"/>
      <c r="F30" s="21"/>
      <c r="G30" s="137">
        <v>120</v>
      </c>
      <c r="H30" s="3"/>
      <c r="I30" s="3"/>
      <c r="J30" s="3"/>
      <c r="K30" s="285"/>
      <c r="L30" s="286"/>
      <c r="M30" s="3"/>
      <c r="N30" s="66">
        <v>194</v>
      </c>
    </row>
    <row r="31" spans="1:18" ht="15.75" thickBot="1">
      <c r="A31" s="297"/>
      <c r="B31" s="277" t="s">
        <v>43</v>
      </c>
      <c r="C31" s="277"/>
      <c r="D31" s="277"/>
      <c r="E31" s="15">
        <v>50</v>
      </c>
      <c r="F31" s="15">
        <v>50</v>
      </c>
      <c r="G31" s="72"/>
      <c r="H31" s="3">
        <f>10/100*50</f>
        <v>5</v>
      </c>
      <c r="I31" s="3">
        <f>1/100*F31</f>
        <v>0.5</v>
      </c>
      <c r="J31" s="3">
        <f>71/100*50</f>
        <v>35.5</v>
      </c>
      <c r="K31" s="244">
        <f>340/100*50</f>
        <v>170</v>
      </c>
      <c r="L31" s="247"/>
      <c r="M31" s="4">
        <v>0</v>
      </c>
      <c r="N31" s="5"/>
    </row>
    <row r="32" spans="1:18" ht="15.75" thickBot="1">
      <c r="A32" s="297"/>
      <c r="B32" s="280" t="s">
        <v>23</v>
      </c>
      <c r="C32" s="281"/>
      <c r="D32" s="281"/>
      <c r="E32" s="15">
        <v>5</v>
      </c>
      <c r="F32" s="15">
        <v>5</v>
      </c>
      <c r="G32" s="73"/>
      <c r="H32" s="3">
        <f>0.4/100*5</f>
        <v>0.02</v>
      </c>
      <c r="I32" s="3">
        <f>78.5/100*5</f>
        <v>3.9250000000000003</v>
      </c>
      <c r="J32" s="3">
        <f>0.5/100*5</f>
        <v>2.5000000000000001E-2</v>
      </c>
      <c r="K32" s="244">
        <f>734/100*5</f>
        <v>36.700000000000003</v>
      </c>
      <c r="L32" s="247"/>
      <c r="M32" s="4">
        <f>0.6/100*5</f>
        <v>0.03</v>
      </c>
      <c r="N32" s="5"/>
    </row>
    <row r="33" spans="1:14" ht="15.75" thickBot="1">
      <c r="A33" s="297"/>
      <c r="B33" s="277" t="s">
        <v>36</v>
      </c>
      <c r="C33" s="277"/>
      <c r="D33" s="277"/>
      <c r="E33" s="15">
        <v>2</v>
      </c>
      <c r="F33" s="15">
        <v>2</v>
      </c>
      <c r="G33" s="73"/>
      <c r="H33" s="3">
        <v>0</v>
      </c>
      <c r="I33" s="3">
        <f>99.9/100*5</f>
        <v>4.995000000000001</v>
      </c>
      <c r="J33" s="3">
        <v>0</v>
      </c>
      <c r="K33" s="250">
        <f>900/100*2</f>
        <v>18</v>
      </c>
      <c r="L33" s="236"/>
      <c r="M33" s="4">
        <v>0</v>
      </c>
      <c r="N33" s="5"/>
    </row>
    <row r="34" spans="1:14" ht="15.75" thickBot="1">
      <c r="A34" s="297"/>
      <c r="B34" s="278" t="s">
        <v>122</v>
      </c>
      <c r="C34" s="279"/>
      <c r="D34" s="279"/>
      <c r="E34" s="220"/>
      <c r="F34" s="21"/>
      <c r="G34" s="66">
        <v>70</v>
      </c>
      <c r="H34" s="3"/>
      <c r="I34" s="3"/>
      <c r="J34" s="3"/>
      <c r="K34" s="246"/>
      <c r="L34" s="247"/>
      <c r="M34" s="4"/>
      <c r="N34" s="5"/>
    </row>
    <row r="35" spans="1:14" ht="15.75" thickBot="1">
      <c r="A35" s="297"/>
      <c r="B35" s="280" t="s">
        <v>91</v>
      </c>
      <c r="C35" s="281"/>
      <c r="D35" s="282"/>
      <c r="E35" s="15">
        <v>60</v>
      </c>
      <c r="F35" s="15">
        <v>60</v>
      </c>
      <c r="G35" s="3"/>
      <c r="H35" s="3">
        <f>18.9/100*60</f>
        <v>11.339999999999998</v>
      </c>
      <c r="I35" s="3">
        <f>12.4/100*60</f>
        <v>7.4399999999999995</v>
      </c>
      <c r="J35" s="3">
        <v>0</v>
      </c>
      <c r="K35" s="250">
        <f>187/100*60</f>
        <v>112.2</v>
      </c>
      <c r="L35" s="251"/>
      <c r="M35" s="4">
        <v>0</v>
      </c>
      <c r="N35" s="5"/>
    </row>
    <row r="36" spans="1:14" ht="15.75" thickBot="1">
      <c r="A36" s="297"/>
      <c r="B36" s="280" t="s">
        <v>48</v>
      </c>
      <c r="C36" s="283"/>
      <c r="D36" s="284"/>
      <c r="E36" s="15">
        <v>2</v>
      </c>
      <c r="F36" s="15">
        <v>2</v>
      </c>
      <c r="G36" s="5"/>
      <c r="H36" s="3">
        <f>0.4/100*2</f>
        <v>8.0000000000000002E-3</v>
      </c>
      <c r="I36" s="3">
        <f>78.5/100*2</f>
        <v>1.57</v>
      </c>
      <c r="J36" s="3">
        <f>0.5/100*2</f>
        <v>0.01</v>
      </c>
      <c r="K36" s="250">
        <f>734/100*2</f>
        <v>14.68</v>
      </c>
      <c r="L36" s="251"/>
      <c r="M36" s="4">
        <v>0</v>
      </c>
      <c r="N36" s="5"/>
    </row>
    <row r="37" spans="1:14" ht="15.75" thickBot="1">
      <c r="A37" s="297"/>
      <c r="B37" s="277" t="s">
        <v>60</v>
      </c>
      <c r="C37" s="277"/>
      <c r="D37" s="277"/>
      <c r="E37" s="15">
        <v>2</v>
      </c>
      <c r="F37" s="15">
        <v>2</v>
      </c>
      <c r="G37" s="3"/>
      <c r="H37" s="1">
        <v>0</v>
      </c>
      <c r="I37" s="1">
        <f>99.9/100*2</f>
        <v>1.9980000000000002</v>
      </c>
      <c r="J37" s="1">
        <v>0</v>
      </c>
      <c r="K37" s="250">
        <f>900/100*2</f>
        <v>18</v>
      </c>
      <c r="L37" s="251"/>
      <c r="M37" s="243">
        <v>0</v>
      </c>
      <c r="N37" s="5"/>
    </row>
    <row r="38" spans="1:14" ht="15.75" thickBot="1">
      <c r="A38" s="297"/>
      <c r="B38" s="277" t="s">
        <v>54</v>
      </c>
      <c r="C38" s="277"/>
      <c r="D38" s="277"/>
      <c r="E38" s="15">
        <v>7</v>
      </c>
      <c r="F38" s="15">
        <v>5</v>
      </c>
      <c r="G38" s="3"/>
      <c r="H38" s="3">
        <f>0.2/100*5</f>
        <v>0.01</v>
      </c>
      <c r="I38" s="3">
        <v>0</v>
      </c>
      <c r="J38" s="3">
        <f>10/100*5</f>
        <v>0.5</v>
      </c>
      <c r="K38" s="244">
        <f>42/100*5</f>
        <v>2.1</v>
      </c>
      <c r="L38" s="247"/>
      <c r="M38" s="4">
        <f>8.5/100*5</f>
        <v>0.42500000000000004</v>
      </c>
      <c r="N38" s="5"/>
    </row>
    <row r="39" spans="1:14" ht="15.75" thickBot="1">
      <c r="A39" s="297"/>
      <c r="B39" s="280" t="s">
        <v>55</v>
      </c>
      <c r="C39" s="281"/>
      <c r="D39" s="281"/>
      <c r="E39" s="15">
        <v>7</v>
      </c>
      <c r="F39" s="15">
        <v>5</v>
      </c>
      <c r="G39" s="3"/>
      <c r="H39" s="3">
        <f>1/100*5</f>
        <v>0.05</v>
      </c>
      <c r="I39" s="3">
        <v>0</v>
      </c>
      <c r="J39" s="3">
        <f>6.1/100*5</f>
        <v>0.30499999999999999</v>
      </c>
      <c r="K39" s="244">
        <f>29/100*5</f>
        <v>1.45</v>
      </c>
      <c r="L39" s="247"/>
      <c r="M39" s="4">
        <f>4/100*5</f>
        <v>0.2</v>
      </c>
      <c r="N39" s="5"/>
    </row>
    <row r="40" spans="1:14" ht="15.75" thickBot="1">
      <c r="A40" s="297"/>
      <c r="B40" s="237"/>
      <c r="C40" s="239" t="s">
        <v>51</v>
      </c>
      <c r="D40" s="241"/>
      <c r="E40" s="15">
        <v>2.1</v>
      </c>
      <c r="F40" s="15">
        <v>2.1</v>
      </c>
      <c r="G40" s="5"/>
      <c r="H40" s="3">
        <f>10.3/100*2.1</f>
        <v>0.21630000000000002</v>
      </c>
      <c r="I40" s="3">
        <f>1.1/100*2.1</f>
        <v>2.3100000000000002E-2</v>
      </c>
      <c r="J40" s="3">
        <f>70.6/100*2.1</f>
        <v>1.4825999999999999</v>
      </c>
      <c r="K40" s="244">
        <f>334/100*2.1</f>
        <v>7.0140000000000002</v>
      </c>
      <c r="L40" s="20"/>
      <c r="M40" s="4">
        <v>0</v>
      </c>
      <c r="N40" s="5"/>
    </row>
    <row r="41" spans="1:14" ht="15.75" thickBot="1">
      <c r="A41" s="297"/>
      <c r="B41" s="280" t="s">
        <v>78</v>
      </c>
      <c r="C41" s="283"/>
      <c r="D41" s="284"/>
      <c r="E41" s="15">
        <v>7</v>
      </c>
      <c r="F41" s="15">
        <v>7</v>
      </c>
      <c r="G41" s="5"/>
      <c r="H41" s="3">
        <f>2.2/100*7</f>
        <v>0.15400000000000003</v>
      </c>
      <c r="I41" s="3">
        <v>0</v>
      </c>
      <c r="J41" s="3">
        <f>15.8/100*7</f>
        <v>1.1060000000000001</v>
      </c>
      <c r="K41" s="244">
        <f>63.2/100*7</f>
        <v>4.4240000000000004</v>
      </c>
      <c r="L41" s="247"/>
      <c r="M41" s="4">
        <f>26/100*7</f>
        <v>1.82</v>
      </c>
      <c r="N41" s="5"/>
    </row>
    <row r="42" spans="1:14" ht="15.75" thickBot="1">
      <c r="A42" s="297"/>
      <c r="B42" s="277" t="s">
        <v>72</v>
      </c>
      <c r="C42" s="277"/>
      <c r="D42" s="277"/>
      <c r="E42" s="15">
        <v>3</v>
      </c>
      <c r="F42" s="15">
        <v>2.8</v>
      </c>
      <c r="G42" s="3"/>
      <c r="H42" s="1">
        <f>0.15/2</f>
        <v>7.4999999999999997E-2</v>
      </c>
      <c r="I42" s="1"/>
      <c r="J42" s="1">
        <f>0.36/2</f>
        <v>0.18</v>
      </c>
      <c r="K42" s="250"/>
      <c r="L42" s="251"/>
      <c r="M42" s="243">
        <f>7.06/2</f>
        <v>3.53</v>
      </c>
      <c r="N42" s="5"/>
    </row>
    <row r="43" spans="1:14" ht="15.75" thickBot="1">
      <c r="A43" s="297"/>
      <c r="B43" s="280" t="s">
        <v>37</v>
      </c>
      <c r="C43" s="281"/>
      <c r="D43" s="282"/>
      <c r="E43" s="15">
        <v>6</v>
      </c>
      <c r="F43" s="15">
        <v>6</v>
      </c>
      <c r="G43" s="73"/>
      <c r="H43" s="3">
        <f>2.6/100*4</f>
        <v>0.10400000000000001</v>
      </c>
      <c r="I43" s="3">
        <f>15/100*4</f>
        <v>0.6</v>
      </c>
      <c r="J43" s="3">
        <f>3.6/100*4</f>
        <v>0.14400000000000002</v>
      </c>
      <c r="K43" s="250">
        <f>160/100*4</f>
        <v>6.4</v>
      </c>
      <c r="L43" s="251"/>
      <c r="M43" s="4">
        <v>0</v>
      </c>
      <c r="N43" s="5"/>
    </row>
    <row r="44" spans="1:14" ht="15.75" thickBot="1">
      <c r="A44" s="297"/>
      <c r="B44" s="278" t="s">
        <v>40</v>
      </c>
      <c r="C44" s="279"/>
      <c r="D44" s="279"/>
      <c r="E44" s="154"/>
      <c r="F44" s="21"/>
      <c r="G44" s="66">
        <v>180</v>
      </c>
      <c r="H44" s="3"/>
      <c r="I44" s="3"/>
      <c r="J44" s="3"/>
      <c r="K44" s="29"/>
      <c r="L44" s="30"/>
      <c r="M44" s="4"/>
      <c r="N44" s="66">
        <v>376</v>
      </c>
    </row>
    <row r="45" spans="1:14" ht="15.75" thickBot="1">
      <c r="A45" s="297"/>
      <c r="B45" s="277" t="s">
        <v>41</v>
      </c>
      <c r="C45" s="277"/>
      <c r="D45" s="277"/>
      <c r="E45" s="15">
        <v>11</v>
      </c>
      <c r="F45" s="15">
        <v>16.5</v>
      </c>
      <c r="G45" s="72"/>
      <c r="H45" s="3">
        <f>0.63/100*16.5</f>
        <v>0.10395</v>
      </c>
      <c r="I45" s="3">
        <v>0</v>
      </c>
      <c r="J45" s="3">
        <f>10.06/100*16.5</f>
        <v>1.6599000000000002</v>
      </c>
      <c r="K45" s="287">
        <f>40.87/100*16.5</f>
        <v>6.743549999999999</v>
      </c>
      <c r="L45" s="288"/>
      <c r="M45" s="4">
        <f>0.46/100*16.5</f>
        <v>7.5899999999999995E-2</v>
      </c>
      <c r="N45" s="5"/>
    </row>
    <row r="46" spans="1:14" ht="15.75" thickBot="1">
      <c r="A46" s="297"/>
      <c r="B46" s="280" t="s">
        <v>24</v>
      </c>
      <c r="C46" s="281"/>
      <c r="D46" s="281"/>
      <c r="E46" s="15">
        <v>10</v>
      </c>
      <c r="F46" s="15">
        <v>10</v>
      </c>
      <c r="G46" s="71"/>
      <c r="H46" s="3">
        <v>0</v>
      </c>
      <c r="I46" s="3">
        <v>0</v>
      </c>
      <c r="J46" s="3">
        <v>10</v>
      </c>
      <c r="K46" s="287">
        <f>400/100*10</f>
        <v>40</v>
      </c>
      <c r="L46" s="288"/>
      <c r="M46" s="4">
        <v>0</v>
      </c>
      <c r="N46" s="5"/>
    </row>
    <row r="47" spans="1:14" ht="15.75" thickBot="1">
      <c r="A47" s="306"/>
      <c r="B47" s="278" t="s">
        <v>129</v>
      </c>
      <c r="C47" s="279"/>
      <c r="D47" s="279"/>
      <c r="E47" s="154"/>
      <c r="F47" s="21"/>
      <c r="G47" s="66">
        <v>50</v>
      </c>
      <c r="H47" s="3">
        <f>7/100*50</f>
        <v>3.5000000000000004</v>
      </c>
      <c r="I47" s="3">
        <f>1/100*50</f>
        <v>0.5</v>
      </c>
      <c r="J47" s="3">
        <f>46/100*50</f>
        <v>23</v>
      </c>
      <c r="K47" s="287">
        <f>200/100*50</f>
        <v>100</v>
      </c>
      <c r="L47" s="288"/>
      <c r="M47" s="4">
        <v>0</v>
      </c>
      <c r="N47" s="5"/>
    </row>
    <row r="48" spans="1:14" ht="15.75" thickBot="1">
      <c r="A48" s="296" t="s">
        <v>6</v>
      </c>
      <c r="B48" s="12" t="s">
        <v>131</v>
      </c>
      <c r="C48" s="13"/>
      <c r="D48" s="13"/>
      <c r="E48" s="220"/>
      <c r="F48" s="21"/>
      <c r="G48" s="66">
        <v>20</v>
      </c>
      <c r="H48" s="4">
        <f>8.7/100*20</f>
        <v>1.7399999999999998</v>
      </c>
      <c r="I48" s="4">
        <f>7.7/100*20</f>
        <v>1.54</v>
      </c>
      <c r="J48" s="4">
        <f>66.1/100*20</f>
        <v>13.219999999999999</v>
      </c>
      <c r="K48" s="250">
        <f>368/100*20</f>
        <v>73.600000000000009</v>
      </c>
      <c r="L48" s="251"/>
      <c r="M48" s="4">
        <v>0</v>
      </c>
      <c r="N48" s="5"/>
    </row>
    <row r="49" spans="1:18" ht="15.75" thickBot="1">
      <c r="A49" s="306"/>
      <c r="B49" s="12" t="s">
        <v>22</v>
      </c>
      <c r="C49" s="13"/>
      <c r="D49" s="13"/>
      <c r="E49" s="154"/>
      <c r="F49" s="21"/>
      <c r="G49" s="66">
        <v>150</v>
      </c>
      <c r="H49" s="3">
        <f>2.6/100*150</f>
        <v>3.9000000000000004</v>
      </c>
      <c r="I49" s="3">
        <f>15/100*150</f>
        <v>22.5</v>
      </c>
      <c r="J49" s="3">
        <f>3.6/100*150</f>
        <v>5.4</v>
      </c>
      <c r="K49" s="287">
        <f>160/100*150</f>
        <v>240</v>
      </c>
      <c r="L49" s="288"/>
      <c r="M49" s="4">
        <f>1/100*150</f>
        <v>1.5</v>
      </c>
      <c r="N49" s="66">
        <v>255</v>
      </c>
    </row>
    <row r="50" spans="1:18" ht="15.75" thickBot="1">
      <c r="A50" s="293" t="s">
        <v>7</v>
      </c>
      <c r="B50" s="278" t="s">
        <v>231</v>
      </c>
      <c r="C50" s="279"/>
      <c r="D50" s="279"/>
      <c r="E50" s="220"/>
      <c r="F50" s="21"/>
      <c r="G50" s="137">
        <v>250</v>
      </c>
      <c r="H50" s="3"/>
      <c r="I50" s="3"/>
      <c r="J50" s="3"/>
      <c r="K50" s="285"/>
      <c r="L50" s="286"/>
      <c r="M50" s="3"/>
      <c r="N50" s="5"/>
    </row>
    <row r="51" spans="1:18" ht="15.75" thickBot="1">
      <c r="A51" s="294"/>
      <c r="B51" s="277" t="s">
        <v>232</v>
      </c>
      <c r="C51" s="277"/>
      <c r="D51" s="277"/>
      <c r="E51" s="15">
        <v>20</v>
      </c>
      <c r="F51" s="15">
        <v>20</v>
      </c>
      <c r="G51" s="142"/>
      <c r="H51" s="3">
        <f>18/100*20</f>
        <v>3.5999999999999996</v>
      </c>
      <c r="I51" s="3">
        <f>23/100*20</f>
        <v>4.6000000000000005</v>
      </c>
      <c r="J51" s="3">
        <v>0</v>
      </c>
      <c r="K51" s="244">
        <f>279/100*20</f>
        <v>55.8</v>
      </c>
      <c r="L51" s="245"/>
      <c r="M51" s="4">
        <v>0</v>
      </c>
      <c r="N51" s="5"/>
    </row>
    <row r="52" spans="1:18" ht="15.75" thickBot="1">
      <c r="A52" s="294"/>
      <c r="B52" s="280" t="s">
        <v>33</v>
      </c>
      <c r="C52" s="281"/>
      <c r="D52" s="281"/>
      <c r="E52" s="15">
        <v>100</v>
      </c>
      <c r="F52" s="15">
        <v>70</v>
      </c>
      <c r="G52" s="142"/>
      <c r="H52" s="3">
        <f>1.2/100*70</f>
        <v>0.84</v>
      </c>
      <c r="I52" s="3">
        <v>0</v>
      </c>
      <c r="J52" s="3">
        <f>14/100*70</f>
        <v>9.8000000000000007</v>
      </c>
      <c r="K52" s="244">
        <f>62/100*70</f>
        <v>43.4</v>
      </c>
      <c r="L52" s="245"/>
      <c r="M52" s="4">
        <f>7.5/100*70</f>
        <v>5.25</v>
      </c>
      <c r="N52" s="5"/>
    </row>
    <row r="53" spans="1:18" ht="15.75" thickBot="1">
      <c r="A53" s="294"/>
      <c r="B53" s="277" t="s">
        <v>34</v>
      </c>
      <c r="C53" s="277"/>
      <c r="D53" s="277"/>
      <c r="E53" s="15">
        <v>7</v>
      </c>
      <c r="F53" s="15">
        <v>5</v>
      </c>
      <c r="G53" s="142"/>
      <c r="H53" s="3">
        <f>0.2/100*5</f>
        <v>0.01</v>
      </c>
      <c r="I53" s="3">
        <v>0</v>
      </c>
      <c r="J53" s="3">
        <f>10/100*5</f>
        <v>0.5</v>
      </c>
      <c r="K53" s="244">
        <f>42/100*5</f>
        <v>2.1</v>
      </c>
      <c r="L53" s="245"/>
      <c r="M53" s="4">
        <f>8.4/100*5</f>
        <v>0.42000000000000004</v>
      </c>
      <c r="N53" s="5"/>
    </row>
    <row r="54" spans="1:18" ht="15.75" thickBot="1">
      <c r="A54" s="294"/>
      <c r="B54" s="277" t="s">
        <v>35</v>
      </c>
      <c r="C54" s="277"/>
      <c r="D54" s="277"/>
      <c r="E54" s="15">
        <v>7</v>
      </c>
      <c r="F54" s="15">
        <v>5</v>
      </c>
      <c r="G54" s="142"/>
      <c r="H54" s="3">
        <f>1/100*5</f>
        <v>0.05</v>
      </c>
      <c r="I54" s="3">
        <v>0</v>
      </c>
      <c r="J54" s="3">
        <f>6.1/100*5</f>
        <v>0.30499999999999999</v>
      </c>
      <c r="K54" s="244">
        <f>29/100*5</f>
        <v>1.45</v>
      </c>
      <c r="L54" s="245"/>
      <c r="M54" s="4">
        <f>4/100*5</f>
        <v>0.2</v>
      </c>
      <c r="N54" s="5"/>
    </row>
    <row r="55" spans="1:18" ht="15.75" thickBot="1">
      <c r="A55" s="294"/>
      <c r="B55" s="280" t="s">
        <v>23</v>
      </c>
      <c r="C55" s="281"/>
      <c r="D55" s="281"/>
      <c r="E55" s="15">
        <v>2</v>
      </c>
      <c r="F55" s="15">
        <v>2</v>
      </c>
      <c r="G55" s="142"/>
      <c r="H55" s="3">
        <f>0.4/100*2</f>
        <v>8.0000000000000002E-3</v>
      </c>
      <c r="I55" s="3">
        <f>78.5/100*2</f>
        <v>1.57</v>
      </c>
      <c r="J55" s="3">
        <f>0.5/100*2</f>
        <v>0.01</v>
      </c>
      <c r="K55" s="250">
        <f>734/100*2</f>
        <v>14.68</v>
      </c>
      <c r="L55" s="251"/>
      <c r="M55" s="4">
        <v>0</v>
      </c>
      <c r="N55" s="5"/>
    </row>
    <row r="56" spans="1:18" ht="15.75" thickBot="1">
      <c r="A56" s="294"/>
      <c r="B56" s="277" t="s">
        <v>36</v>
      </c>
      <c r="C56" s="277"/>
      <c r="D56" s="277"/>
      <c r="E56" s="15">
        <v>2</v>
      </c>
      <c r="F56" s="15">
        <v>2</v>
      </c>
      <c r="G56" s="142"/>
      <c r="H56" s="1">
        <v>0</v>
      </c>
      <c r="I56" s="1">
        <f>99.9/100*2</f>
        <v>1.9980000000000002</v>
      </c>
      <c r="J56" s="1">
        <v>0</v>
      </c>
      <c r="K56" s="250">
        <f>900/100*2</f>
        <v>18</v>
      </c>
      <c r="L56" s="251"/>
      <c r="M56" s="243">
        <v>0</v>
      </c>
      <c r="N56" s="5"/>
    </row>
    <row r="57" spans="1:18" ht="15.75" thickBot="1">
      <c r="A57" s="294"/>
      <c r="B57" s="280" t="s">
        <v>37</v>
      </c>
      <c r="C57" s="281"/>
      <c r="D57" s="281"/>
      <c r="E57" s="15">
        <v>4</v>
      </c>
      <c r="F57" s="15">
        <v>4</v>
      </c>
      <c r="G57" s="142"/>
      <c r="H57" s="1">
        <f>2.6/100*4</f>
        <v>0.10400000000000001</v>
      </c>
      <c r="I57" s="1">
        <f>15/100*4</f>
        <v>0.6</v>
      </c>
      <c r="J57" s="1">
        <f>3.6/100*4</f>
        <v>0.14400000000000002</v>
      </c>
      <c r="K57" s="250">
        <f>160/100*4</f>
        <v>6.4</v>
      </c>
      <c r="L57" s="251"/>
      <c r="M57" s="243">
        <v>0</v>
      </c>
      <c r="N57" s="5"/>
    </row>
    <row r="58" spans="1:18" ht="15.75" thickBot="1">
      <c r="A58" s="294"/>
      <c r="B58" s="277" t="s">
        <v>206</v>
      </c>
      <c r="C58" s="277"/>
      <c r="D58" s="277"/>
      <c r="E58" s="15">
        <v>7</v>
      </c>
      <c r="F58" s="15">
        <v>7</v>
      </c>
      <c r="G58" s="142"/>
      <c r="H58" s="202">
        <f>7/100*7</f>
        <v>0.49000000000000005</v>
      </c>
      <c r="I58" s="202">
        <f>1/100*7</f>
        <v>7.0000000000000007E-2</v>
      </c>
      <c r="J58" s="202">
        <f>74/100*7</f>
        <v>5.18</v>
      </c>
      <c r="K58" s="250">
        <f>330/100*7</f>
        <v>23.099999999999998</v>
      </c>
      <c r="L58" s="251"/>
      <c r="M58" s="4">
        <v>0</v>
      </c>
      <c r="N58" s="243"/>
      <c r="Q58" t="s">
        <v>253</v>
      </c>
      <c r="R58" t="s">
        <v>255</v>
      </c>
    </row>
    <row r="59" spans="1:18" ht="15.75" thickBot="1">
      <c r="A59" s="294"/>
      <c r="B59" s="278" t="s">
        <v>207</v>
      </c>
      <c r="C59" s="279"/>
      <c r="D59" s="279"/>
      <c r="E59" s="198"/>
      <c r="F59" s="199"/>
      <c r="G59" s="70">
        <v>30</v>
      </c>
      <c r="H59" s="3">
        <f>7/100*30</f>
        <v>2.1</v>
      </c>
      <c r="I59" s="3">
        <f>1/100*30</f>
        <v>0.3</v>
      </c>
      <c r="J59" s="3">
        <f>47/100*30</f>
        <v>14.1</v>
      </c>
      <c r="K59" s="287">
        <f>230/100*30</f>
        <v>69</v>
      </c>
      <c r="L59" s="288"/>
      <c r="M59" s="4">
        <v>0</v>
      </c>
      <c r="N59" s="5"/>
    </row>
    <row r="60" spans="1:18" ht="15.75" thickBot="1">
      <c r="A60" s="294"/>
      <c r="B60" s="278" t="s">
        <v>44</v>
      </c>
      <c r="C60" s="279"/>
      <c r="D60" s="279"/>
      <c r="E60" s="154"/>
      <c r="F60" s="21"/>
      <c r="G60" s="73">
        <v>180</v>
      </c>
      <c r="H60" s="3"/>
      <c r="I60" s="3"/>
      <c r="J60" s="3"/>
      <c r="K60" s="307"/>
      <c r="L60" s="308"/>
      <c r="M60" s="4"/>
      <c r="N60" s="66">
        <v>263</v>
      </c>
    </row>
    <row r="61" spans="1:18" ht="15.75" thickBot="1">
      <c r="A61" s="294"/>
      <c r="B61" s="277" t="s">
        <v>210</v>
      </c>
      <c r="C61" s="277"/>
      <c r="D61" s="277"/>
      <c r="E61" s="78">
        <v>0.6</v>
      </c>
      <c r="F61" s="78">
        <v>0.6</v>
      </c>
      <c r="G61" s="78"/>
      <c r="H61" s="4">
        <f>20/100*0.6</f>
        <v>0.12</v>
      </c>
      <c r="I61" s="4">
        <v>0</v>
      </c>
      <c r="J61" s="4">
        <f>6.9/100*0.6</f>
        <v>4.1399999999999999E-2</v>
      </c>
      <c r="K61" s="287">
        <f>109/100*0.6</f>
        <v>0.65400000000000003</v>
      </c>
      <c r="L61" s="288"/>
      <c r="M61" s="4">
        <f>10/100*0.6</f>
        <v>0.06</v>
      </c>
      <c r="N61" s="78"/>
    </row>
    <row r="62" spans="1:18" ht="15.75" thickBot="1">
      <c r="A62" s="295"/>
      <c r="B62" s="280" t="s">
        <v>24</v>
      </c>
      <c r="C62" s="281"/>
      <c r="D62" s="281"/>
      <c r="E62" s="69">
        <v>8</v>
      </c>
      <c r="F62" s="69">
        <v>8</v>
      </c>
      <c r="G62" s="65"/>
      <c r="H62" s="3">
        <v>0</v>
      </c>
      <c r="I62" s="3">
        <v>0</v>
      </c>
      <c r="J62" s="3">
        <v>8</v>
      </c>
      <c r="K62" s="287">
        <v>32</v>
      </c>
      <c r="L62" s="288"/>
      <c r="M62" s="4">
        <v>0</v>
      </c>
      <c r="N62" s="5"/>
    </row>
    <row r="65" spans="2:14" ht="15.75" thickBot="1"/>
    <row r="66" spans="2:14" ht="15.75" thickBot="1">
      <c r="B66" s="278" t="s">
        <v>130</v>
      </c>
      <c r="C66" s="279"/>
      <c r="D66" s="279"/>
      <c r="E66" s="13"/>
      <c r="F66" s="14"/>
      <c r="G66" s="66">
        <v>100</v>
      </c>
      <c r="H66" s="3">
        <f>0.2/100*100</f>
        <v>0.2</v>
      </c>
      <c r="I66" s="3">
        <v>0</v>
      </c>
      <c r="J66" s="3">
        <v>10.1</v>
      </c>
      <c r="K66" s="17">
        <v>42</v>
      </c>
      <c r="L66" s="18"/>
      <c r="M66" s="3">
        <v>6.2</v>
      </c>
      <c r="N66" s="66">
        <v>368</v>
      </c>
    </row>
  </sheetData>
  <mergeCells count="77">
    <mergeCell ref="B16:D16"/>
    <mergeCell ref="B55:D55"/>
    <mergeCell ref="B27:D27"/>
    <mergeCell ref="K45:L45"/>
    <mergeCell ref="K46:L46"/>
    <mergeCell ref="K47:L47"/>
    <mergeCell ref="B54:D54"/>
    <mergeCell ref="B60:D60"/>
    <mergeCell ref="B25:D25"/>
    <mergeCell ref="B18:F18"/>
    <mergeCell ref="K18:L18"/>
    <mergeCell ref="B66:D66"/>
    <mergeCell ref="B30:D30"/>
    <mergeCell ref="B33:D33"/>
    <mergeCell ref="B19:D19"/>
    <mergeCell ref="B20:D20"/>
    <mergeCell ref="B21:D21"/>
    <mergeCell ref="B26:D26"/>
    <mergeCell ref="B22:D22"/>
    <mergeCell ref="B23:D23"/>
    <mergeCell ref="B24:D24"/>
    <mergeCell ref="B29:D29"/>
    <mergeCell ref="B61:D61"/>
    <mergeCell ref="B62:D62"/>
    <mergeCell ref="B59:D59"/>
    <mergeCell ref="B44:D44"/>
    <mergeCell ref="B31:D31"/>
    <mergeCell ref="A18:A47"/>
    <mergeCell ref="A48:A49"/>
    <mergeCell ref="B45:D45"/>
    <mergeCell ref="B46:D46"/>
    <mergeCell ref="B47:D47"/>
    <mergeCell ref="B32:D32"/>
    <mergeCell ref="B14:D14"/>
    <mergeCell ref="B15:D15"/>
    <mergeCell ref="A50:A62"/>
    <mergeCell ref="N4:N5"/>
    <mergeCell ref="A7:A17"/>
    <mergeCell ref="B7:F7"/>
    <mergeCell ref="B8:D8"/>
    <mergeCell ref="B9:D9"/>
    <mergeCell ref="B12:D12"/>
    <mergeCell ref="A4:A5"/>
    <mergeCell ref="B4:D5"/>
    <mergeCell ref="E4:F4"/>
    <mergeCell ref="G4:G5"/>
    <mergeCell ref="H4:J4"/>
    <mergeCell ref="B13:D13"/>
    <mergeCell ref="B17:D17"/>
    <mergeCell ref="K4:L5"/>
    <mergeCell ref="M4:M5"/>
    <mergeCell ref="B10:D10"/>
    <mergeCell ref="B11:D11"/>
    <mergeCell ref="K6:L6"/>
    <mergeCell ref="K30:L30"/>
    <mergeCell ref="K61:L61"/>
    <mergeCell ref="K62:L62"/>
    <mergeCell ref="K59:L59"/>
    <mergeCell ref="K49:L49"/>
    <mergeCell ref="K50:L50"/>
    <mergeCell ref="K60:L60"/>
    <mergeCell ref="B58:D58"/>
    <mergeCell ref="B34:D34"/>
    <mergeCell ref="B35:D35"/>
    <mergeCell ref="B36:D36"/>
    <mergeCell ref="B37:D37"/>
    <mergeCell ref="B38:D38"/>
    <mergeCell ref="B39:D39"/>
    <mergeCell ref="B41:D41"/>
    <mergeCell ref="B42:D42"/>
    <mergeCell ref="B43:D43"/>
    <mergeCell ref="B52:D52"/>
    <mergeCell ref="B56:D56"/>
    <mergeCell ref="B57:D57"/>
    <mergeCell ref="B50:D50"/>
    <mergeCell ref="B51:D51"/>
    <mergeCell ref="B53:D53"/>
  </mergeCells>
  <printOptions verticalCentered="1"/>
  <pageMargins left="0.11811023622047245" right="0.11811023622047245" top="0.74803149606299213" bottom="0.74803149606299213" header="0.31496062992125984" footer="0.31496062992125984"/>
  <pageSetup paperSize="9" scale="74" orientation="portrait" verticalDpi="0" r:id="rId1"/>
  <rowBreaks count="1" manualBreakCount="1">
    <brk id="6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R77"/>
  <sheetViews>
    <sheetView topLeftCell="A60" zoomScaleNormal="100" workbookViewId="0">
      <selection activeCell="B64" sqref="B64:N72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3" max="13" width="9.28515625" bestFit="1" customWidth="1"/>
  </cols>
  <sheetData>
    <row r="1" spans="1:14" ht="18.75">
      <c r="F1" s="51" t="s">
        <v>101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49" t="s">
        <v>89</v>
      </c>
      <c r="B5" s="12"/>
      <c r="C5" s="13"/>
      <c r="D5" s="13"/>
      <c r="E5" s="13"/>
      <c r="F5" s="13"/>
      <c r="G5" s="195"/>
      <c r="H5" s="234">
        <f>H77</f>
        <v>54.372349999999997</v>
      </c>
      <c r="I5" s="234">
        <f>I77</f>
        <v>72.928000000000011</v>
      </c>
      <c r="J5" s="234">
        <f>J77</f>
        <v>204.1507</v>
      </c>
      <c r="K5" s="196">
        <f>K77</f>
        <v>1677.3295499999999</v>
      </c>
      <c r="L5" s="197"/>
      <c r="M5" s="73">
        <f>M77</f>
        <v>42.2699</v>
      </c>
      <c r="N5" s="195"/>
    </row>
    <row r="6" spans="1:14" ht="15.75" thickBot="1">
      <c r="A6" s="296" t="s">
        <v>4</v>
      </c>
      <c r="B6" s="278" t="s">
        <v>170</v>
      </c>
      <c r="C6" s="279"/>
      <c r="D6" s="279"/>
      <c r="E6" s="279"/>
      <c r="F6" s="298"/>
      <c r="G6" s="266">
        <v>250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46</v>
      </c>
      <c r="C7" s="281"/>
      <c r="D7" s="281"/>
      <c r="E7" s="257">
        <v>150</v>
      </c>
      <c r="F7" s="257">
        <v>150</v>
      </c>
      <c r="G7" s="257"/>
      <c r="H7" s="257">
        <f>2.8/100*150</f>
        <v>4.1999999999999993</v>
      </c>
      <c r="I7" s="257">
        <f>2.5/100*150</f>
        <v>3.75</v>
      </c>
      <c r="J7" s="257">
        <f>4.7/100*150</f>
        <v>7.05</v>
      </c>
      <c r="K7" s="89">
        <f>55/100*150</f>
        <v>82.5</v>
      </c>
      <c r="L7" s="8"/>
      <c r="M7" s="257">
        <f>1/100*150</f>
        <v>1.5</v>
      </c>
      <c r="N7" s="257"/>
    </row>
    <row r="8" spans="1:14" ht="15.75" thickBot="1">
      <c r="A8" s="297"/>
      <c r="B8" s="280" t="s">
        <v>47</v>
      </c>
      <c r="C8" s="281"/>
      <c r="D8" s="281"/>
      <c r="E8" s="257">
        <v>5</v>
      </c>
      <c r="F8" s="257">
        <v>5</v>
      </c>
      <c r="G8" s="257"/>
      <c r="H8" s="257">
        <v>0</v>
      </c>
      <c r="I8" s="257">
        <v>0</v>
      </c>
      <c r="J8" s="257">
        <f>100/100*5</f>
        <v>5</v>
      </c>
      <c r="K8" s="89">
        <f>400/100*5</f>
        <v>20</v>
      </c>
      <c r="L8" s="8"/>
      <c r="M8" s="257">
        <v>0</v>
      </c>
      <c r="N8" s="257"/>
    </row>
    <row r="9" spans="1:14" ht="15.75" thickBot="1">
      <c r="A9" s="297"/>
      <c r="B9" s="280" t="s">
        <v>48</v>
      </c>
      <c r="C9" s="281"/>
      <c r="D9" s="281"/>
      <c r="E9" s="257">
        <v>5</v>
      </c>
      <c r="F9" s="257">
        <v>5</v>
      </c>
      <c r="G9" s="257"/>
      <c r="H9" s="257">
        <f>0.4/100*5</f>
        <v>0.02</v>
      </c>
      <c r="I9" s="257">
        <f>78.5/100*5</f>
        <v>3.9250000000000003</v>
      </c>
      <c r="J9" s="257">
        <f>0.5/100*5</f>
        <v>2.5000000000000001E-2</v>
      </c>
      <c r="K9" s="89">
        <f>734/100*5</f>
        <v>36.700000000000003</v>
      </c>
      <c r="L9" s="8"/>
      <c r="M9" s="257">
        <f>0.6/100*5</f>
        <v>0.03</v>
      </c>
      <c r="N9" s="257"/>
    </row>
    <row r="10" spans="1:14" ht="15.75" thickBot="1">
      <c r="A10" s="297"/>
      <c r="B10" s="280" t="s">
        <v>75</v>
      </c>
      <c r="C10" s="281"/>
      <c r="D10" s="281"/>
      <c r="E10" s="257">
        <v>16</v>
      </c>
      <c r="F10" s="257">
        <v>16</v>
      </c>
      <c r="G10" s="257"/>
      <c r="H10" s="257">
        <f>10/100*16</f>
        <v>1.6</v>
      </c>
      <c r="I10" s="257">
        <f>1/100*16</f>
        <v>0.16</v>
      </c>
      <c r="J10" s="257">
        <f>71/100*16</f>
        <v>11.36</v>
      </c>
      <c r="K10" s="218">
        <f>340/100*16</f>
        <v>54.4</v>
      </c>
      <c r="L10" s="262"/>
      <c r="M10" s="257">
        <v>0</v>
      </c>
      <c r="N10" s="257"/>
    </row>
    <row r="11" spans="1:14" ht="15.75" thickBot="1">
      <c r="A11" s="297"/>
      <c r="B11" s="278" t="s">
        <v>207</v>
      </c>
      <c r="C11" s="279"/>
      <c r="D11" s="279"/>
      <c r="E11" s="206"/>
      <c r="F11" s="205"/>
      <c r="G11" s="210">
        <v>30</v>
      </c>
      <c r="H11" s="15">
        <f>7/100*30</f>
        <v>2.1</v>
      </c>
      <c r="I11" s="15">
        <f>1/100*30</f>
        <v>0.3</v>
      </c>
      <c r="J11" s="15">
        <f>47/100*30</f>
        <v>14.1</v>
      </c>
      <c r="K11" s="221">
        <f>230/100*30</f>
        <v>69</v>
      </c>
      <c r="L11" s="204"/>
      <c r="M11" s="15">
        <v>0</v>
      </c>
      <c r="N11" s="68"/>
    </row>
    <row r="12" spans="1:14" ht="15.75" thickBot="1">
      <c r="A12" s="297"/>
      <c r="B12" s="278" t="s">
        <v>23</v>
      </c>
      <c r="C12" s="279"/>
      <c r="D12" s="279"/>
      <c r="E12" s="198"/>
      <c r="F12" s="199"/>
      <c r="G12" s="70">
        <v>5</v>
      </c>
      <c r="H12" s="22">
        <f>0.4/100*5</f>
        <v>0.02</v>
      </c>
      <c r="I12" s="22">
        <f>78.5/100*5</f>
        <v>3.9250000000000003</v>
      </c>
      <c r="J12" s="22">
        <f>0.5/100*5</f>
        <v>2.5000000000000001E-2</v>
      </c>
      <c r="K12" s="221">
        <f>734/100*5</f>
        <v>36.700000000000003</v>
      </c>
      <c r="L12" s="222"/>
      <c r="M12" s="22">
        <f>0.6/100*5</f>
        <v>0.03</v>
      </c>
      <c r="N12" s="5"/>
    </row>
    <row r="13" spans="1:14" ht="15.75" thickBot="1">
      <c r="A13" s="297"/>
      <c r="B13" s="278" t="s">
        <v>179</v>
      </c>
      <c r="C13" s="279"/>
      <c r="D13" s="279"/>
      <c r="E13" s="261"/>
      <c r="F13" s="262"/>
      <c r="G13" s="266">
        <v>180</v>
      </c>
      <c r="H13" s="257"/>
      <c r="I13" s="257"/>
      <c r="J13" s="257"/>
      <c r="K13" s="7"/>
      <c r="L13" s="8"/>
      <c r="M13" s="257"/>
      <c r="N13" s="257"/>
    </row>
    <row r="14" spans="1:14" ht="15.75" thickBot="1">
      <c r="A14" s="297"/>
      <c r="B14" s="280" t="s">
        <v>76</v>
      </c>
      <c r="C14" s="281"/>
      <c r="D14" s="281"/>
      <c r="E14" s="257">
        <v>1.2</v>
      </c>
      <c r="F14" s="257">
        <v>1.2</v>
      </c>
      <c r="G14" s="257"/>
      <c r="H14" s="4">
        <f>9.9/100*1.2</f>
        <v>0.1188</v>
      </c>
      <c r="I14" s="4">
        <f>2.5/100*1.2</f>
        <v>0.03</v>
      </c>
      <c r="J14" s="4">
        <f>57.8/100*1.2</f>
        <v>0.69359999999999988</v>
      </c>
      <c r="K14" s="275">
        <f>294/100*1.2</f>
        <v>3.528</v>
      </c>
      <c r="L14" s="276"/>
      <c r="M14" s="4">
        <v>0</v>
      </c>
      <c r="N14" s="5"/>
    </row>
    <row r="15" spans="1:14" ht="15.75" thickBot="1">
      <c r="A15" s="297"/>
      <c r="B15" s="280" t="s">
        <v>46</v>
      </c>
      <c r="C15" s="281"/>
      <c r="D15" s="281"/>
      <c r="E15" s="257">
        <v>150</v>
      </c>
      <c r="F15" s="257">
        <v>150</v>
      </c>
      <c r="G15" s="257"/>
      <c r="H15" s="257">
        <f>2.8/100*150</f>
        <v>4.1999999999999993</v>
      </c>
      <c r="I15" s="257">
        <f>2.5/100*150</f>
        <v>3.75</v>
      </c>
      <c r="J15" s="257">
        <f>4.7/100*150</f>
        <v>7.05</v>
      </c>
      <c r="K15" s="89">
        <f>55/100*150</f>
        <v>82.5</v>
      </c>
      <c r="L15" s="8"/>
      <c r="M15" s="257">
        <f>1/100*150</f>
        <v>1.5</v>
      </c>
      <c r="N15" s="5"/>
    </row>
    <row r="16" spans="1:14" ht="15.75" thickBot="1">
      <c r="A16" s="306"/>
      <c r="B16" s="280" t="s">
        <v>47</v>
      </c>
      <c r="C16" s="281"/>
      <c r="D16" s="281"/>
      <c r="E16" s="257">
        <v>10</v>
      </c>
      <c r="F16" s="257">
        <v>10</v>
      </c>
      <c r="G16" s="257"/>
      <c r="H16" s="4">
        <v>0</v>
      </c>
      <c r="I16" s="4">
        <v>0</v>
      </c>
      <c r="J16" s="4">
        <f>100/100*10</f>
        <v>10</v>
      </c>
      <c r="K16" s="275">
        <f>400/100*10</f>
        <v>40</v>
      </c>
      <c r="L16" s="259"/>
      <c r="M16" s="4">
        <v>0</v>
      </c>
      <c r="N16" s="5"/>
    </row>
    <row r="17" spans="1:18" ht="15.75" thickBot="1">
      <c r="A17" s="296" t="s">
        <v>5</v>
      </c>
      <c r="B17" s="278" t="s">
        <v>225</v>
      </c>
      <c r="C17" s="279"/>
      <c r="D17" s="279"/>
      <c r="E17" s="279"/>
      <c r="F17" s="298"/>
      <c r="G17" s="66">
        <v>60</v>
      </c>
      <c r="H17" s="3"/>
      <c r="I17" s="3"/>
      <c r="J17" s="3"/>
      <c r="K17" s="285"/>
      <c r="L17" s="286"/>
      <c r="M17" s="3"/>
      <c r="N17" s="5"/>
    </row>
    <row r="18" spans="1:18" ht="15.75" thickBot="1">
      <c r="A18" s="297"/>
      <c r="B18" s="277" t="s">
        <v>33</v>
      </c>
      <c r="C18" s="277"/>
      <c r="D18" s="277"/>
      <c r="E18" s="15">
        <v>36</v>
      </c>
      <c r="F18" s="15">
        <v>30</v>
      </c>
      <c r="G18" s="73"/>
      <c r="H18" s="3">
        <v>0.36</v>
      </c>
      <c r="I18" s="3">
        <v>0</v>
      </c>
      <c r="J18" s="3">
        <v>4.2</v>
      </c>
      <c r="K18" s="275">
        <v>18.600000000000001</v>
      </c>
      <c r="L18" s="276"/>
      <c r="M18" s="3">
        <v>2.25</v>
      </c>
      <c r="N18" s="5"/>
      <c r="R18" t="s">
        <v>254</v>
      </c>
    </row>
    <row r="19" spans="1:18" ht="15.75" thickBot="1">
      <c r="A19" s="297"/>
      <c r="B19" s="277" t="s">
        <v>35</v>
      </c>
      <c r="C19" s="277"/>
      <c r="D19" s="277"/>
      <c r="E19" s="15">
        <v>12</v>
      </c>
      <c r="F19" s="15">
        <v>10</v>
      </c>
      <c r="G19" s="73"/>
      <c r="H19" s="3">
        <f>1/100*10</f>
        <v>0.1</v>
      </c>
      <c r="I19" s="3">
        <v>0</v>
      </c>
      <c r="J19" s="3">
        <f>6.1/100*10</f>
        <v>0.61</v>
      </c>
      <c r="K19" s="268">
        <f>29/100*10</f>
        <v>2.9</v>
      </c>
      <c r="L19" s="271"/>
      <c r="M19" s="3">
        <f>4/100*10</f>
        <v>0.4</v>
      </c>
      <c r="N19" s="5"/>
    </row>
    <row r="20" spans="1:18" ht="15.75" thickBot="1">
      <c r="A20" s="297"/>
      <c r="B20" s="277" t="s">
        <v>125</v>
      </c>
      <c r="C20" s="277"/>
      <c r="D20" s="277"/>
      <c r="E20" s="15">
        <v>3</v>
      </c>
      <c r="F20" s="15">
        <v>3</v>
      </c>
      <c r="G20" s="73"/>
      <c r="H20" s="3">
        <f>0.8/100*3</f>
        <v>2.4E-2</v>
      </c>
      <c r="I20" s="3">
        <v>0</v>
      </c>
      <c r="J20" s="3">
        <f>3.3/100*3</f>
        <v>9.9000000000000005E-2</v>
      </c>
      <c r="K20" s="268">
        <f>17/100*3</f>
        <v>0.51</v>
      </c>
      <c r="L20" s="271"/>
      <c r="M20" s="3">
        <f>48/100*3</f>
        <v>1.44</v>
      </c>
      <c r="N20" s="5"/>
    </row>
    <row r="21" spans="1:18" ht="15.75" thickBot="1">
      <c r="A21" s="297"/>
      <c r="B21" s="277" t="s">
        <v>226</v>
      </c>
      <c r="C21" s="277"/>
      <c r="D21" s="277"/>
      <c r="E21" s="15">
        <v>15</v>
      </c>
      <c r="F21" s="15">
        <v>15</v>
      </c>
      <c r="G21" s="73"/>
      <c r="H21" s="3">
        <v>0.09</v>
      </c>
      <c r="I21" s="3">
        <f>18.4/100*15</f>
        <v>2.76</v>
      </c>
      <c r="J21" s="3">
        <v>0.17</v>
      </c>
      <c r="K21" s="268">
        <v>1.05</v>
      </c>
      <c r="L21" s="271"/>
      <c r="M21" s="3">
        <v>0</v>
      </c>
      <c r="N21" s="5"/>
    </row>
    <row r="22" spans="1:18" ht="15.75" thickBot="1">
      <c r="A22" s="297"/>
      <c r="B22" s="277" t="s">
        <v>219</v>
      </c>
      <c r="C22" s="277"/>
      <c r="D22" s="277"/>
      <c r="E22" s="15">
        <v>7</v>
      </c>
      <c r="F22" s="15">
        <v>7</v>
      </c>
      <c r="G22" s="73"/>
      <c r="H22" s="3">
        <v>0.22</v>
      </c>
      <c r="I22" s="3">
        <v>0</v>
      </c>
      <c r="J22" s="3">
        <v>0.46</v>
      </c>
      <c r="K22" s="268">
        <v>2.69</v>
      </c>
      <c r="L22" s="271"/>
      <c r="M22" s="3">
        <v>0</v>
      </c>
      <c r="N22" s="5"/>
    </row>
    <row r="23" spans="1:18" ht="15.75" thickBot="1">
      <c r="A23" s="297"/>
      <c r="B23" s="280" t="s">
        <v>222</v>
      </c>
      <c r="C23" s="281"/>
      <c r="D23" s="281"/>
      <c r="E23" s="15">
        <v>47</v>
      </c>
      <c r="F23" s="15">
        <v>40</v>
      </c>
      <c r="G23" s="73"/>
      <c r="H23" s="3">
        <v>0.32</v>
      </c>
      <c r="I23" s="3">
        <f>11.5/100*10</f>
        <v>1.1500000000000001</v>
      </c>
      <c r="J23" s="3">
        <v>3.32</v>
      </c>
      <c r="K23" s="268">
        <v>14.8</v>
      </c>
      <c r="L23" s="271"/>
      <c r="M23" s="3">
        <v>0</v>
      </c>
      <c r="N23" s="5"/>
    </row>
    <row r="24" spans="1:18" ht="15.75" thickBot="1">
      <c r="A24" s="297"/>
      <c r="B24" s="260"/>
      <c r="C24" s="261" t="s">
        <v>209</v>
      </c>
      <c r="D24" s="261"/>
      <c r="E24" s="15">
        <v>7</v>
      </c>
      <c r="F24" s="15">
        <v>5</v>
      </c>
      <c r="G24" s="73"/>
      <c r="H24" s="3">
        <f>0.2/100*5</f>
        <v>0.01</v>
      </c>
      <c r="I24" s="3">
        <v>0</v>
      </c>
      <c r="J24" s="3">
        <f>10/100*5</f>
        <v>0.5</v>
      </c>
      <c r="K24" s="268">
        <f>42/100*5</f>
        <v>2.1</v>
      </c>
      <c r="L24" s="271"/>
      <c r="M24" s="3">
        <f>8.5/100*5</f>
        <v>0.42500000000000004</v>
      </c>
      <c r="N24" s="5"/>
    </row>
    <row r="25" spans="1:18" ht="15.75" thickBot="1">
      <c r="A25" s="297"/>
      <c r="B25" s="277" t="s">
        <v>211</v>
      </c>
      <c r="C25" s="277"/>
      <c r="D25" s="277"/>
      <c r="E25" s="15">
        <v>6</v>
      </c>
      <c r="F25" s="15">
        <v>6</v>
      </c>
      <c r="G25" s="73"/>
      <c r="H25" s="1">
        <v>0</v>
      </c>
      <c r="I25" s="1">
        <v>5.99</v>
      </c>
      <c r="J25" s="1">
        <v>0</v>
      </c>
      <c r="K25" s="275">
        <v>54</v>
      </c>
      <c r="L25" s="276"/>
      <c r="M25" s="1">
        <v>0</v>
      </c>
      <c r="N25" s="5"/>
    </row>
    <row r="26" spans="1:18" ht="15.75" thickBot="1">
      <c r="A26" s="297"/>
      <c r="B26" s="278" t="s">
        <v>191</v>
      </c>
      <c r="C26" s="279"/>
      <c r="D26" s="279"/>
      <c r="E26" s="279"/>
      <c r="F26" s="298"/>
      <c r="G26" s="137">
        <v>250</v>
      </c>
      <c r="H26" s="3"/>
      <c r="I26" s="3"/>
      <c r="J26" s="3"/>
      <c r="K26" s="287"/>
      <c r="L26" s="288"/>
      <c r="M26" s="3"/>
      <c r="N26" s="5"/>
    </row>
    <row r="27" spans="1:18" ht="15.75" thickBot="1">
      <c r="A27" s="297"/>
      <c r="B27" s="280" t="s">
        <v>28</v>
      </c>
      <c r="C27" s="281"/>
      <c r="D27" s="282"/>
      <c r="E27" s="257">
        <v>20</v>
      </c>
      <c r="F27" s="257">
        <v>20</v>
      </c>
      <c r="G27" s="142"/>
      <c r="H27" s="4">
        <f>18.9/100*20</f>
        <v>3.7799999999999994</v>
      </c>
      <c r="I27" s="4">
        <f>12.4/100*20</f>
        <v>2.48</v>
      </c>
      <c r="J27" s="4">
        <v>0</v>
      </c>
      <c r="K27" s="275">
        <f>187/100*20</f>
        <v>37.400000000000006</v>
      </c>
      <c r="L27" s="259"/>
      <c r="M27" s="4">
        <v>0</v>
      </c>
      <c r="N27" s="5"/>
    </row>
    <row r="28" spans="1:18" ht="15.75" thickBot="1">
      <c r="A28" s="297"/>
      <c r="B28" s="280" t="s">
        <v>33</v>
      </c>
      <c r="C28" s="281"/>
      <c r="D28" s="282"/>
      <c r="E28" s="257">
        <v>100</v>
      </c>
      <c r="F28" s="257">
        <v>87.5</v>
      </c>
      <c r="G28" s="142"/>
      <c r="H28" s="4">
        <f>1.2/100*87.5</f>
        <v>1.05</v>
      </c>
      <c r="I28" s="4">
        <v>0</v>
      </c>
      <c r="J28" s="4">
        <f>14/100*87.5</f>
        <v>12.250000000000002</v>
      </c>
      <c r="K28" s="268">
        <f>62/100*87.5</f>
        <v>54.25</v>
      </c>
      <c r="L28" s="271"/>
      <c r="M28" s="4">
        <f>7.5/100*87.5</f>
        <v>6.5625</v>
      </c>
      <c r="N28" s="5"/>
    </row>
    <row r="29" spans="1:18" ht="15.75" thickBot="1">
      <c r="A29" s="297"/>
      <c r="B29" s="280" t="s">
        <v>34</v>
      </c>
      <c r="C29" s="281"/>
      <c r="D29" s="282"/>
      <c r="E29" s="257">
        <v>7</v>
      </c>
      <c r="F29" s="257">
        <v>5</v>
      </c>
      <c r="G29" s="142"/>
      <c r="H29" s="4">
        <f>0.2/100*5</f>
        <v>0.01</v>
      </c>
      <c r="I29" s="4">
        <v>0</v>
      </c>
      <c r="J29" s="4">
        <f>10/100*5</f>
        <v>0.5</v>
      </c>
      <c r="K29" s="268">
        <f>42/100*5</f>
        <v>2.1</v>
      </c>
      <c r="L29" s="271"/>
      <c r="M29" s="4">
        <f>8.5/100*5</f>
        <v>0.42500000000000004</v>
      </c>
      <c r="N29" s="5"/>
    </row>
    <row r="30" spans="1:18" ht="15.75" thickBot="1">
      <c r="A30" s="297"/>
      <c r="B30" s="277" t="s">
        <v>35</v>
      </c>
      <c r="C30" s="277"/>
      <c r="D30" s="277"/>
      <c r="E30" s="257">
        <v>7</v>
      </c>
      <c r="F30" s="257">
        <v>5</v>
      </c>
      <c r="G30" s="142"/>
      <c r="H30" s="4">
        <f>1/100*5</f>
        <v>0.05</v>
      </c>
      <c r="I30" s="4">
        <v>0</v>
      </c>
      <c r="J30" s="4">
        <f>6.1/100*5</f>
        <v>0.30499999999999999</v>
      </c>
      <c r="K30" s="268">
        <f>29/100*5</f>
        <v>1.45</v>
      </c>
      <c r="L30" s="271"/>
      <c r="M30" s="4">
        <f>4/100*5</f>
        <v>0.2</v>
      </c>
      <c r="N30" s="5"/>
    </row>
    <row r="31" spans="1:18" ht="15.75" thickBot="1">
      <c r="A31" s="297"/>
      <c r="B31" s="280" t="s">
        <v>23</v>
      </c>
      <c r="C31" s="281"/>
      <c r="D31" s="281"/>
      <c r="E31" s="15">
        <v>2</v>
      </c>
      <c r="F31" s="15">
        <v>2</v>
      </c>
      <c r="G31" s="142"/>
      <c r="H31" s="3">
        <f>0.4/100*2</f>
        <v>8.0000000000000002E-3</v>
      </c>
      <c r="I31" s="3">
        <f>78.5/100*2</f>
        <v>1.57</v>
      </c>
      <c r="J31" s="3">
        <f>0.5/100*2</f>
        <v>0.01</v>
      </c>
      <c r="K31" s="268">
        <f>734/100*2</f>
        <v>14.68</v>
      </c>
      <c r="L31" s="271"/>
      <c r="M31" s="4">
        <f>0.6/100*2</f>
        <v>1.2E-2</v>
      </c>
      <c r="N31" s="5"/>
    </row>
    <row r="32" spans="1:18" ht="15.75" thickBot="1">
      <c r="A32" s="297"/>
      <c r="B32" s="277" t="s">
        <v>36</v>
      </c>
      <c r="C32" s="277"/>
      <c r="D32" s="277"/>
      <c r="E32" s="15">
        <v>2</v>
      </c>
      <c r="F32" s="15">
        <v>2</v>
      </c>
      <c r="G32" s="142"/>
      <c r="H32" s="3">
        <v>0</v>
      </c>
      <c r="I32" s="3">
        <f>99.9/100*2</f>
        <v>1.9980000000000002</v>
      </c>
      <c r="J32" s="3">
        <v>0</v>
      </c>
      <c r="K32" s="268">
        <f>900/100*2</f>
        <v>18</v>
      </c>
      <c r="L32" s="271"/>
      <c r="M32" s="4">
        <v>0</v>
      </c>
      <c r="N32" s="5"/>
    </row>
    <row r="33" spans="1:14" ht="15.75" thickBot="1">
      <c r="A33" s="297"/>
      <c r="B33" s="277" t="s">
        <v>37</v>
      </c>
      <c r="C33" s="277"/>
      <c r="D33" s="277"/>
      <c r="E33" s="15">
        <v>8</v>
      </c>
      <c r="F33" s="15">
        <v>8</v>
      </c>
      <c r="G33" s="142"/>
      <c r="H33" s="3">
        <f>2.6/100*8</f>
        <v>0.20800000000000002</v>
      </c>
      <c r="I33" s="3">
        <f>15/100*8</f>
        <v>1.2</v>
      </c>
      <c r="J33" s="3">
        <f>3.6/100*8</f>
        <v>0.28800000000000003</v>
      </c>
      <c r="K33" s="275">
        <f>160/100*8</f>
        <v>12.8</v>
      </c>
      <c r="L33" s="259"/>
      <c r="M33" s="4">
        <v>0</v>
      </c>
      <c r="N33" s="5"/>
    </row>
    <row r="34" spans="1:14" ht="15.75" thickBot="1">
      <c r="A34" s="297"/>
      <c r="B34" s="277" t="s">
        <v>198</v>
      </c>
      <c r="C34" s="277"/>
      <c r="D34" s="277"/>
      <c r="E34" s="15">
        <v>5</v>
      </c>
      <c r="F34" s="15">
        <v>5</v>
      </c>
      <c r="G34" s="142"/>
      <c r="H34" s="3">
        <f>12.7/100*5</f>
        <v>0.63500000000000001</v>
      </c>
      <c r="I34" s="3">
        <f>11.5/100*5</f>
        <v>0.57500000000000007</v>
      </c>
      <c r="J34" s="3">
        <f>0.7/100*5</f>
        <v>3.4999999999999996E-2</v>
      </c>
      <c r="K34" s="275">
        <f>241/100*5</f>
        <v>12.05</v>
      </c>
      <c r="L34" s="276"/>
      <c r="M34" s="4">
        <v>0</v>
      </c>
      <c r="N34" s="5"/>
    </row>
    <row r="35" spans="1:14" ht="15.75" thickBot="1">
      <c r="A35" s="297"/>
      <c r="B35" s="278" t="s">
        <v>161</v>
      </c>
      <c r="C35" s="279"/>
      <c r="D35" s="279"/>
      <c r="E35" s="220"/>
      <c r="F35" s="21"/>
      <c r="G35" s="137">
        <v>150</v>
      </c>
      <c r="H35" s="3"/>
      <c r="I35" s="3"/>
      <c r="J35" s="3"/>
      <c r="K35" s="275"/>
      <c r="L35" s="276"/>
      <c r="M35" s="3"/>
      <c r="N35" s="5"/>
    </row>
    <row r="36" spans="1:14" ht="15.75" thickBot="1">
      <c r="A36" s="297"/>
      <c r="B36" s="280" t="s">
        <v>69</v>
      </c>
      <c r="C36" s="281"/>
      <c r="D36" s="281"/>
      <c r="E36" s="15">
        <v>80</v>
      </c>
      <c r="F36" s="15">
        <v>80</v>
      </c>
      <c r="G36" s="5"/>
      <c r="H36" s="3">
        <f>18.9/100*80</f>
        <v>15.119999999999997</v>
      </c>
      <c r="I36" s="3">
        <f>12.4/100*80</f>
        <v>9.92</v>
      </c>
      <c r="J36" s="3">
        <v>0</v>
      </c>
      <c r="K36" s="275">
        <f>187/100*80</f>
        <v>149.60000000000002</v>
      </c>
      <c r="L36" s="259"/>
      <c r="M36" s="3">
        <v>0</v>
      </c>
      <c r="N36" s="5"/>
    </row>
    <row r="37" spans="1:14" ht="15.75" thickBot="1">
      <c r="A37" s="297"/>
      <c r="B37" s="280" t="s">
        <v>53</v>
      </c>
      <c r="C37" s="283"/>
      <c r="D37" s="284"/>
      <c r="E37" s="15">
        <v>65</v>
      </c>
      <c r="F37" s="15">
        <v>50</v>
      </c>
      <c r="G37" s="5"/>
      <c r="H37" s="3">
        <f>1.2/100*50</f>
        <v>0.6</v>
      </c>
      <c r="I37" s="3">
        <v>0</v>
      </c>
      <c r="J37" s="3">
        <f>4.1/100*50</f>
        <v>2.0499999999999998</v>
      </c>
      <c r="K37" s="268">
        <f>22/100*50</f>
        <v>11</v>
      </c>
      <c r="L37" s="271"/>
      <c r="M37" s="3">
        <f>24/100*50</f>
        <v>12</v>
      </c>
      <c r="N37" s="5"/>
    </row>
    <row r="38" spans="1:14" ht="15.75" thickBot="1">
      <c r="A38" s="297"/>
      <c r="B38" s="277" t="s">
        <v>64</v>
      </c>
      <c r="C38" s="277"/>
      <c r="D38" s="277"/>
      <c r="E38" s="15">
        <v>10</v>
      </c>
      <c r="F38" s="15">
        <v>10</v>
      </c>
      <c r="G38" s="3"/>
      <c r="H38" s="3">
        <f>7/100*10</f>
        <v>0.70000000000000007</v>
      </c>
      <c r="I38" s="3">
        <f>1/100*10</f>
        <v>0.1</v>
      </c>
      <c r="J38" s="275">
        <f>74/100*10</f>
        <v>7.4</v>
      </c>
      <c r="K38" s="275">
        <f>330/100*10</f>
        <v>33</v>
      </c>
      <c r="L38" s="259"/>
      <c r="M38" s="3">
        <v>0</v>
      </c>
      <c r="N38" s="5"/>
    </row>
    <row r="39" spans="1:14" ht="15.75" thickBot="1">
      <c r="A39" s="297"/>
      <c r="B39" s="260"/>
      <c r="C39" s="261" t="s">
        <v>54</v>
      </c>
      <c r="D39" s="261"/>
      <c r="E39" s="15">
        <v>12</v>
      </c>
      <c r="F39" s="15">
        <v>10</v>
      </c>
      <c r="G39" s="3"/>
      <c r="H39" s="3">
        <f>0.2/100*10</f>
        <v>0.02</v>
      </c>
      <c r="I39" s="3">
        <v>0</v>
      </c>
      <c r="J39" s="3">
        <f>10/100*10</f>
        <v>1</v>
      </c>
      <c r="K39" s="268">
        <f>42/100*10</f>
        <v>4.2</v>
      </c>
      <c r="L39" s="271"/>
      <c r="M39" s="3">
        <f>8.5/100*10</f>
        <v>0.85000000000000009</v>
      </c>
      <c r="N39" s="5"/>
    </row>
    <row r="40" spans="1:14" ht="15.75" thickBot="1">
      <c r="A40" s="297"/>
      <c r="B40" s="260"/>
      <c r="C40" s="261" t="s">
        <v>55</v>
      </c>
      <c r="D40" s="261"/>
      <c r="E40" s="15">
        <v>16</v>
      </c>
      <c r="F40" s="15">
        <v>10</v>
      </c>
      <c r="G40" s="3"/>
      <c r="H40" s="3">
        <f>1/100*10</f>
        <v>0.1</v>
      </c>
      <c r="I40" s="3">
        <v>0</v>
      </c>
      <c r="J40" s="3">
        <f>6.1/100*10</f>
        <v>0.61</v>
      </c>
      <c r="K40" s="268">
        <f>29/100*10</f>
        <v>2.9</v>
      </c>
      <c r="L40" s="271"/>
      <c r="M40" s="3">
        <f>4/100*10</f>
        <v>0.4</v>
      </c>
      <c r="N40" s="5"/>
    </row>
    <row r="41" spans="1:14" ht="15.75" thickBot="1">
      <c r="A41" s="297"/>
      <c r="B41" s="277" t="s">
        <v>50</v>
      </c>
      <c r="C41" s="277"/>
      <c r="D41" s="277"/>
      <c r="E41" s="15">
        <v>5</v>
      </c>
      <c r="F41" s="15">
        <v>5</v>
      </c>
      <c r="G41" s="3"/>
      <c r="H41" s="3">
        <f>12.7/100*5</f>
        <v>0.63500000000000001</v>
      </c>
      <c r="I41" s="3">
        <f>11.5/100*5</f>
        <v>0.57500000000000007</v>
      </c>
      <c r="J41" s="3">
        <f>0.7/100*5</f>
        <v>3.4999999999999996E-2</v>
      </c>
      <c r="K41" s="268">
        <f>241/100*5</f>
        <v>12.05</v>
      </c>
      <c r="L41" s="20"/>
      <c r="M41" s="3">
        <v>0</v>
      </c>
      <c r="N41" s="5"/>
    </row>
    <row r="42" spans="1:14" ht="15.75" thickBot="1">
      <c r="A42" s="297"/>
      <c r="B42" s="277" t="s">
        <v>60</v>
      </c>
      <c r="C42" s="277"/>
      <c r="D42" s="277"/>
      <c r="E42" s="15">
        <v>3</v>
      </c>
      <c r="F42" s="15">
        <v>3</v>
      </c>
      <c r="G42" s="3"/>
      <c r="H42" s="1">
        <v>0</v>
      </c>
      <c r="I42" s="1">
        <f>99.9/100*3</f>
        <v>2.9970000000000003</v>
      </c>
      <c r="J42" s="1">
        <v>0</v>
      </c>
      <c r="K42" s="275">
        <f>900/100*3</f>
        <v>27</v>
      </c>
      <c r="L42" s="259"/>
      <c r="M42" s="1">
        <v>0</v>
      </c>
      <c r="N42" s="5"/>
    </row>
    <row r="43" spans="1:14" ht="15.75" thickBot="1">
      <c r="A43" s="297"/>
      <c r="B43" s="278" t="s">
        <v>145</v>
      </c>
      <c r="C43" s="279"/>
      <c r="D43" s="279"/>
      <c r="E43" s="279"/>
      <c r="F43" s="298"/>
      <c r="G43" s="137">
        <v>70</v>
      </c>
      <c r="H43" s="1"/>
      <c r="I43" s="1"/>
      <c r="J43" s="1"/>
      <c r="K43" s="272"/>
      <c r="L43" s="273"/>
      <c r="M43" s="1"/>
      <c r="N43" s="5"/>
    </row>
    <row r="44" spans="1:14" ht="15.75" thickBot="1">
      <c r="A44" s="297"/>
      <c r="B44" s="280" t="s">
        <v>48</v>
      </c>
      <c r="C44" s="283"/>
      <c r="D44" s="284"/>
      <c r="E44" s="15">
        <v>2</v>
      </c>
      <c r="F44" s="15">
        <v>2</v>
      </c>
      <c r="G44" s="5"/>
      <c r="H44" s="3">
        <f>0.4/100*2</f>
        <v>8.0000000000000002E-3</v>
      </c>
      <c r="I44" s="3">
        <f>78.5/100*2</f>
        <v>1.57</v>
      </c>
      <c r="J44" s="3">
        <f>0.5/100*2</f>
        <v>0.01</v>
      </c>
      <c r="K44" s="275">
        <f>734/100*2</f>
        <v>14.68</v>
      </c>
      <c r="L44" s="276"/>
      <c r="M44" s="3">
        <v>0</v>
      </c>
      <c r="N44" s="5"/>
    </row>
    <row r="45" spans="1:14" ht="15.75" thickBot="1">
      <c r="A45" s="297"/>
      <c r="B45" s="277" t="s">
        <v>60</v>
      </c>
      <c r="C45" s="277"/>
      <c r="D45" s="277"/>
      <c r="E45" s="15">
        <v>2</v>
      </c>
      <c r="F45" s="15">
        <v>2</v>
      </c>
      <c r="G45" s="3"/>
      <c r="H45" s="1">
        <v>0</v>
      </c>
      <c r="I45" s="1">
        <f>99.9/100*2</f>
        <v>1.9980000000000002</v>
      </c>
      <c r="J45" s="1">
        <v>0</v>
      </c>
      <c r="K45" s="275">
        <f>900/100*2</f>
        <v>18</v>
      </c>
      <c r="L45" s="276"/>
      <c r="M45" s="1">
        <v>0</v>
      </c>
      <c r="N45" s="5"/>
    </row>
    <row r="46" spans="1:14" ht="15.75" thickBot="1">
      <c r="A46" s="297"/>
      <c r="B46" s="277" t="s">
        <v>54</v>
      </c>
      <c r="C46" s="277"/>
      <c r="D46" s="277"/>
      <c r="E46" s="15">
        <v>7</v>
      </c>
      <c r="F46" s="15">
        <v>5</v>
      </c>
      <c r="G46" s="3"/>
      <c r="H46" s="3">
        <f>0.2/100*5</f>
        <v>0.01</v>
      </c>
      <c r="I46" s="3">
        <v>0</v>
      </c>
      <c r="J46" s="3">
        <f>10/100*5</f>
        <v>0.5</v>
      </c>
      <c r="K46" s="268">
        <f>42/100*5</f>
        <v>2.1</v>
      </c>
      <c r="L46" s="271"/>
      <c r="M46" s="3">
        <f>8.5/100*5</f>
        <v>0.42500000000000004</v>
      </c>
      <c r="N46" s="5"/>
    </row>
    <row r="47" spans="1:14" ht="15.75" thickBot="1">
      <c r="A47" s="297"/>
      <c r="B47" s="280" t="s">
        <v>55</v>
      </c>
      <c r="C47" s="281"/>
      <c r="D47" s="281"/>
      <c r="E47" s="15">
        <v>7</v>
      </c>
      <c r="F47" s="15">
        <v>5</v>
      </c>
      <c r="G47" s="3"/>
      <c r="H47" s="3">
        <f>1/100*5</f>
        <v>0.05</v>
      </c>
      <c r="I47" s="3">
        <v>0</v>
      </c>
      <c r="J47" s="3">
        <f>6.1/100*5</f>
        <v>0.30499999999999999</v>
      </c>
      <c r="K47" s="268">
        <f>29/100*5</f>
        <v>1.45</v>
      </c>
      <c r="L47" s="271"/>
      <c r="M47" s="3">
        <f>4/100*5</f>
        <v>0.2</v>
      </c>
      <c r="N47" s="5"/>
    </row>
    <row r="48" spans="1:14" ht="15.75" thickBot="1">
      <c r="A48" s="297"/>
      <c r="B48" s="260"/>
      <c r="C48" s="261" t="s">
        <v>51</v>
      </c>
      <c r="D48" s="265"/>
      <c r="E48" s="15">
        <v>12</v>
      </c>
      <c r="F48" s="15">
        <v>12</v>
      </c>
      <c r="G48" s="5"/>
      <c r="H48" s="3">
        <f>10.3/100*12</f>
        <v>1.2360000000000002</v>
      </c>
      <c r="I48" s="3">
        <f>1.1/100*12</f>
        <v>0.13200000000000001</v>
      </c>
      <c r="J48" s="3">
        <f>70.6/100*12</f>
        <v>8.4719999999999995</v>
      </c>
      <c r="K48" s="268">
        <f>334/100*12</f>
        <v>40.08</v>
      </c>
      <c r="L48" s="271"/>
      <c r="M48" s="3">
        <v>0</v>
      </c>
      <c r="N48" s="5"/>
    </row>
    <row r="49" spans="1:16" ht="15.75" thickBot="1">
      <c r="A49" s="297"/>
      <c r="B49" s="280" t="s">
        <v>78</v>
      </c>
      <c r="C49" s="283"/>
      <c r="D49" s="284"/>
      <c r="E49" s="15">
        <v>7</v>
      </c>
      <c r="F49" s="15">
        <v>7</v>
      </c>
      <c r="G49" s="5"/>
      <c r="H49" s="3">
        <f>2.2/100*7</f>
        <v>0.15400000000000003</v>
      </c>
      <c r="I49" s="3">
        <v>0</v>
      </c>
      <c r="J49" s="3">
        <f>15.8/100*7</f>
        <v>1.1060000000000001</v>
      </c>
      <c r="K49" s="268">
        <f>63.2/100*7</f>
        <v>4.4240000000000004</v>
      </c>
      <c r="L49" s="271"/>
      <c r="M49" s="3">
        <f>26/100*7</f>
        <v>1.82</v>
      </c>
      <c r="N49" s="5"/>
    </row>
    <row r="50" spans="1:16" ht="15.75" thickBot="1">
      <c r="A50" s="297"/>
      <c r="B50" s="277" t="s">
        <v>72</v>
      </c>
      <c r="C50" s="277"/>
      <c r="D50" s="277"/>
      <c r="E50" s="15">
        <v>3</v>
      </c>
      <c r="F50" s="15">
        <v>2.8</v>
      </c>
      <c r="G50" s="3"/>
      <c r="H50" s="1">
        <f>0.8/1400*2.8</f>
        <v>1.6000000000000001E-3</v>
      </c>
      <c r="I50" s="1">
        <v>0</v>
      </c>
      <c r="J50" s="1">
        <f>3.3/100*2.8</f>
        <v>9.2399999999999996E-2</v>
      </c>
      <c r="K50" s="275">
        <f>17/100*2.8</f>
        <v>0.47599999999999998</v>
      </c>
      <c r="L50" s="276"/>
      <c r="M50" s="1">
        <f>7.06/2</f>
        <v>3.53</v>
      </c>
      <c r="N50" s="5"/>
    </row>
    <row r="51" spans="1:16" ht="15.75" thickBot="1">
      <c r="A51" s="297"/>
      <c r="B51" s="278" t="s">
        <v>246</v>
      </c>
      <c r="C51" s="279"/>
      <c r="D51" s="279"/>
      <c r="E51" s="206"/>
      <c r="F51" s="205"/>
      <c r="G51" s="66">
        <v>50</v>
      </c>
      <c r="H51" s="22">
        <f>7/100*50</f>
        <v>3.5000000000000004</v>
      </c>
      <c r="I51" s="22">
        <f>1/100*50</f>
        <v>0.5</v>
      </c>
      <c r="J51" s="22">
        <f>46/100*50</f>
        <v>23</v>
      </c>
      <c r="K51" s="221">
        <f>200/100*50</f>
        <v>100</v>
      </c>
      <c r="L51" s="204"/>
      <c r="M51" s="22">
        <v>0</v>
      </c>
      <c r="N51" s="5"/>
    </row>
    <row r="52" spans="1:16" ht="15.75" thickBot="1">
      <c r="A52" s="297"/>
      <c r="B52" s="278" t="s">
        <v>40</v>
      </c>
      <c r="C52" s="279"/>
      <c r="D52" s="279"/>
      <c r="E52" s="220"/>
      <c r="F52" s="21"/>
      <c r="G52" s="66">
        <v>180</v>
      </c>
      <c r="H52" s="22"/>
      <c r="I52" s="22"/>
      <c r="J52" s="22"/>
      <c r="K52" s="214"/>
      <c r="L52" s="215"/>
      <c r="M52" s="3"/>
      <c r="N52" s="5"/>
      <c r="P52" s="27"/>
    </row>
    <row r="53" spans="1:16" ht="15.75" thickBot="1">
      <c r="A53" s="297"/>
      <c r="B53" s="280" t="s">
        <v>57</v>
      </c>
      <c r="C53" s="281"/>
      <c r="D53" s="282"/>
      <c r="E53" s="15">
        <v>11</v>
      </c>
      <c r="F53" s="15">
        <v>16.5</v>
      </c>
      <c r="G53" s="3"/>
      <c r="H53" s="22">
        <f>0.63/100*16.5</f>
        <v>0.10395</v>
      </c>
      <c r="I53" s="22">
        <v>0</v>
      </c>
      <c r="J53" s="22">
        <f>10.06/100*16.5</f>
        <v>1.6599000000000002</v>
      </c>
      <c r="K53" s="221">
        <f>40.87/100*16.5</f>
        <v>6.743549999999999</v>
      </c>
      <c r="L53" s="222"/>
      <c r="M53" s="22">
        <f>0.46/100*16.5</f>
        <v>7.5899999999999995E-2</v>
      </c>
      <c r="N53" s="5"/>
    </row>
    <row r="54" spans="1:16" ht="15.75" thickBot="1">
      <c r="A54" s="306"/>
      <c r="B54" s="280" t="s">
        <v>47</v>
      </c>
      <c r="C54" s="281"/>
      <c r="D54" s="282"/>
      <c r="E54" s="15">
        <v>10</v>
      </c>
      <c r="F54" s="15">
        <v>10</v>
      </c>
      <c r="G54" s="5"/>
      <c r="H54" s="22">
        <v>0</v>
      </c>
      <c r="I54" s="22">
        <v>0</v>
      </c>
      <c r="J54" s="22">
        <f>100/100*10</f>
        <v>10</v>
      </c>
      <c r="K54" s="221">
        <f>400/100*10</f>
        <v>40</v>
      </c>
      <c r="L54" s="222"/>
      <c r="M54" s="22">
        <v>0</v>
      </c>
      <c r="N54" s="5"/>
    </row>
    <row r="55" spans="1:16" ht="15.75" thickBot="1">
      <c r="A55" s="296" t="s">
        <v>6</v>
      </c>
      <c r="B55" s="229" t="s">
        <v>250</v>
      </c>
      <c r="C55" s="13"/>
      <c r="D55" s="13"/>
      <c r="E55" s="220"/>
      <c r="F55" s="21"/>
      <c r="G55" s="66">
        <v>50</v>
      </c>
      <c r="H55" s="3"/>
      <c r="I55" s="3"/>
      <c r="J55" s="3"/>
      <c r="K55" s="231"/>
      <c r="L55" s="232"/>
      <c r="M55" s="3"/>
      <c r="N55" s="5"/>
    </row>
    <row r="56" spans="1:16" ht="15.75" thickBot="1">
      <c r="A56" s="297"/>
      <c r="B56" s="12"/>
      <c r="C56" s="219" t="s">
        <v>58</v>
      </c>
      <c r="D56" s="219"/>
      <c r="E56" s="15">
        <v>25</v>
      </c>
      <c r="F56" s="15">
        <v>25</v>
      </c>
      <c r="G56" s="5"/>
      <c r="H56" s="3">
        <f>10.3/100*F56</f>
        <v>2.5750000000000002</v>
      </c>
      <c r="I56" s="3">
        <f>1.1/100*F56</f>
        <v>0.27500000000000002</v>
      </c>
      <c r="J56" s="3">
        <f>70.6/100*F56</f>
        <v>17.649999999999999</v>
      </c>
      <c r="K56" s="230">
        <f>334/100*F56</f>
        <v>83.5</v>
      </c>
      <c r="L56" s="20"/>
      <c r="M56" s="3">
        <v>0</v>
      </c>
      <c r="N56" s="5"/>
    </row>
    <row r="57" spans="1:16" ht="15.75" thickBot="1">
      <c r="A57" s="297"/>
      <c r="B57" s="12"/>
      <c r="C57" s="219" t="s">
        <v>50</v>
      </c>
      <c r="D57" s="13"/>
      <c r="E57" s="15">
        <v>3</v>
      </c>
      <c r="F57" s="15">
        <v>3</v>
      </c>
      <c r="G57" s="5"/>
      <c r="H57" s="3">
        <f>12.7/100*F57</f>
        <v>0.38100000000000001</v>
      </c>
      <c r="I57" s="3">
        <f>11.5/100*3</f>
        <v>0.34500000000000003</v>
      </c>
      <c r="J57" s="3">
        <f>0.7/100*3</f>
        <v>2.0999999999999998E-2</v>
      </c>
      <c r="K57" s="230">
        <f>241/100*3</f>
        <v>7.23</v>
      </c>
      <c r="L57" s="20"/>
      <c r="M57" s="3">
        <v>0</v>
      </c>
      <c r="N57" s="5"/>
    </row>
    <row r="58" spans="1:16" ht="15.75" thickBot="1">
      <c r="A58" s="297"/>
      <c r="B58" s="12"/>
      <c r="C58" s="219" t="s">
        <v>48</v>
      </c>
      <c r="D58" s="13"/>
      <c r="E58" s="15">
        <v>5</v>
      </c>
      <c r="F58" s="15">
        <v>5</v>
      </c>
      <c r="G58" s="5"/>
      <c r="H58" s="3">
        <f>0.4/100*5</f>
        <v>0.02</v>
      </c>
      <c r="I58" s="3">
        <f>78.5/100*5</f>
        <v>3.9250000000000003</v>
      </c>
      <c r="J58" s="3">
        <f>0.5/100*5</f>
        <v>2.5000000000000001E-2</v>
      </c>
      <c r="K58" s="230">
        <f>734/100*5</f>
        <v>36.700000000000003</v>
      </c>
      <c r="L58" s="20"/>
      <c r="M58" s="3">
        <v>0</v>
      </c>
      <c r="N58" s="5"/>
    </row>
    <row r="59" spans="1:16" ht="15.75" thickBot="1">
      <c r="A59" s="297"/>
      <c r="B59" s="12"/>
      <c r="C59" s="219" t="s">
        <v>47</v>
      </c>
      <c r="D59" s="13"/>
      <c r="E59" s="15">
        <v>7</v>
      </c>
      <c r="F59" s="15">
        <v>7</v>
      </c>
      <c r="G59" s="5"/>
      <c r="H59" s="3">
        <v>0</v>
      </c>
      <c r="I59" s="3">
        <v>0</v>
      </c>
      <c r="J59" s="3">
        <f>100/100*7</f>
        <v>7</v>
      </c>
      <c r="K59" s="230">
        <f>400/100*7</f>
        <v>28</v>
      </c>
      <c r="L59" s="20"/>
      <c r="M59" s="3">
        <v>0</v>
      </c>
      <c r="N59" s="5"/>
    </row>
    <row r="60" spans="1:16" ht="15.75" thickBot="1">
      <c r="A60" s="297"/>
      <c r="B60" s="229"/>
      <c r="C60" s="219" t="s">
        <v>109</v>
      </c>
      <c r="D60" s="13"/>
      <c r="E60" s="15">
        <v>10</v>
      </c>
      <c r="F60" s="15">
        <v>10</v>
      </c>
      <c r="G60" s="5"/>
      <c r="H60" s="3">
        <f>0.3/100*10</f>
        <v>0.03</v>
      </c>
      <c r="I60" s="3">
        <f>82/100*10</f>
        <v>8.1999999999999993</v>
      </c>
      <c r="J60" s="3">
        <f>1/100*10</f>
        <v>0.1</v>
      </c>
      <c r="K60" s="231">
        <f>743/100*10</f>
        <v>74.3</v>
      </c>
      <c r="L60" s="232"/>
      <c r="M60" s="3">
        <v>0</v>
      </c>
      <c r="N60" s="5"/>
    </row>
    <row r="61" spans="1:16" ht="15.75" thickBot="1">
      <c r="A61" s="297"/>
      <c r="B61" s="12" t="s">
        <v>124</v>
      </c>
      <c r="C61" s="13"/>
      <c r="D61" s="13"/>
      <c r="E61" s="206"/>
      <c r="F61" s="205"/>
      <c r="G61" s="66">
        <v>180</v>
      </c>
      <c r="H61" s="4"/>
      <c r="I61" s="4"/>
      <c r="J61" s="4"/>
      <c r="K61" s="214"/>
      <c r="L61" s="215"/>
      <c r="M61" s="4"/>
      <c r="N61" s="68"/>
    </row>
    <row r="62" spans="1:16" ht="15.75" thickBot="1">
      <c r="A62" s="297"/>
      <c r="B62" s="314" t="s">
        <v>62</v>
      </c>
      <c r="C62" s="314"/>
      <c r="D62" s="314"/>
      <c r="E62" s="15">
        <v>0.6</v>
      </c>
      <c r="F62" s="15">
        <v>0.6</v>
      </c>
      <c r="G62" s="211"/>
      <c r="H62" s="22">
        <f>20/100*0.6</f>
        <v>0.12</v>
      </c>
      <c r="I62" s="22">
        <v>0</v>
      </c>
      <c r="J62" s="22">
        <f>6.9/100*0.6</f>
        <v>4.1399999999999999E-2</v>
      </c>
      <c r="K62" s="221">
        <f>109/100*0.6</f>
        <v>0.65400000000000003</v>
      </c>
      <c r="L62" s="222"/>
      <c r="M62" s="22">
        <f>10/100*0.6</f>
        <v>0.06</v>
      </c>
      <c r="N62" s="211"/>
    </row>
    <row r="63" spans="1:16" ht="15.75" thickBot="1">
      <c r="A63" s="297"/>
      <c r="B63" s="44"/>
      <c r="C63" s="219" t="s">
        <v>46</v>
      </c>
      <c r="D63" s="219"/>
      <c r="E63" s="15">
        <v>50</v>
      </c>
      <c r="F63" s="15">
        <v>50</v>
      </c>
      <c r="G63" s="68"/>
      <c r="H63" s="22">
        <f>2.8/100*50</f>
        <v>1.4</v>
      </c>
      <c r="I63" s="22">
        <f>2.5/100*50</f>
        <v>1.25</v>
      </c>
      <c r="J63" s="22">
        <f>4.7/100*50</f>
        <v>2.35</v>
      </c>
      <c r="K63" s="221">
        <f>55/100*50</f>
        <v>27.500000000000004</v>
      </c>
      <c r="L63" s="204"/>
      <c r="M63" s="22">
        <f>1/100*50</f>
        <v>0.5</v>
      </c>
      <c r="N63" s="68"/>
    </row>
    <row r="64" spans="1:16" ht="15.75" thickBot="1">
      <c r="A64" s="293" t="s">
        <v>7</v>
      </c>
      <c r="B64" s="278" t="s">
        <v>258</v>
      </c>
      <c r="C64" s="279"/>
      <c r="D64" s="279"/>
      <c r="E64" s="279"/>
      <c r="F64" s="298"/>
      <c r="G64" s="137">
        <v>250</v>
      </c>
      <c r="H64" s="3"/>
      <c r="I64" s="3"/>
      <c r="J64" s="3"/>
      <c r="K64" s="287"/>
      <c r="L64" s="288"/>
      <c r="M64" s="3"/>
      <c r="N64" s="5"/>
      <c r="P64" s="25"/>
    </row>
    <row r="65" spans="1:16" ht="15.75" thickBot="1">
      <c r="A65" s="294"/>
      <c r="B65" s="280" t="s">
        <v>28</v>
      </c>
      <c r="C65" s="281"/>
      <c r="D65" s="282"/>
      <c r="E65" s="15">
        <v>20</v>
      </c>
      <c r="F65" s="15">
        <v>20</v>
      </c>
      <c r="G65" s="142"/>
      <c r="H65" s="3">
        <f>18.9/100*20</f>
        <v>3.7799999999999994</v>
      </c>
      <c r="I65" s="3">
        <f>12.4/100*20</f>
        <v>2.48</v>
      </c>
      <c r="J65" s="3">
        <v>0</v>
      </c>
      <c r="K65" s="275">
        <f>187/100*20</f>
        <v>37.400000000000006</v>
      </c>
      <c r="L65" s="276"/>
      <c r="M65" s="3">
        <v>0</v>
      </c>
      <c r="N65" s="5"/>
      <c r="P65" s="25"/>
    </row>
    <row r="66" spans="1:16" ht="15.75" thickBot="1">
      <c r="A66" s="294"/>
      <c r="B66" s="280" t="s">
        <v>33</v>
      </c>
      <c r="C66" s="281"/>
      <c r="D66" s="282"/>
      <c r="E66" s="15">
        <v>100</v>
      </c>
      <c r="F66" s="15">
        <v>92.5</v>
      </c>
      <c r="G66" s="142"/>
      <c r="H66" s="3">
        <f>1.2/100*92.5</f>
        <v>1.1100000000000001</v>
      </c>
      <c r="I66" s="3">
        <v>0</v>
      </c>
      <c r="J66" s="3">
        <f>14/100*92.5</f>
        <v>12.950000000000001</v>
      </c>
      <c r="K66" s="268">
        <f>62/100*92.5</f>
        <v>57.35</v>
      </c>
      <c r="L66" s="271"/>
      <c r="M66" s="3">
        <f>7.5/100*92.5</f>
        <v>6.9375</v>
      </c>
      <c r="N66" s="5"/>
      <c r="P66" s="25"/>
    </row>
    <row r="67" spans="1:16" ht="15.75" thickBot="1">
      <c r="A67" s="294"/>
      <c r="B67" s="280" t="s">
        <v>34</v>
      </c>
      <c r="C67" s="281"/>
      <c r="D67" s="282"/>
      <c r="E67" s="15">
        <v>7</v>
      </c>
      <c r="F67" s="15">
        <v>5</v>
      </c>
      <c r="G67" s="142"/>
      <c r="H67" s="3">
        <f>0.2/100*5</f>
        <v>0.01</v>
      </c>
      <c r="I67" s="3">
        <v>0</v>
      </c>
      <c r="J67" s="3">
        <f>10/100*5</f>
        <v>0.5</v>
      </c>
      <c r="K67" s="268">
        <f>42/100*5</f>
        <v>2.1</v>
      </c>
      <c r="L67" s="271"/>
      <c r="M67" s="3">
        <f>8.5/100*5</f>
        <v>0.42500000000000004</v>
      </c>
      <c r="N67" s="5"/>
      <c r="P67" s="25"/>
    </row>
    <row r="68" spans="1:16" ht="15.75" thickBot="1">
      <c r="A68" s="294"/>
      <c r="B68" s="280" t="s">
        <v>35</v>
      </c>
      <c r="C68" s="281"/>
      <c r="D68" s="282"/>
      <c r="E68" s="15">
        <v>7</v>
      </c>
      <c r="F68" s="15">
        <v>5</v>
      </c>
      <c r="G68" s="142"/>
      <c r="H68" s="3">
        <f>1/100*5</f>
        <v>0.05</v>
      </c>
      <c r="I68" s="3">
        <v>0</v>
      </c>
      <c r="J68" s="3">
        <f>6.1/100*5</f>
        <v>0.30499999999999999</v>
      </c>
      <c r="K68" s="268">
        <f>29/100*5</f>
        <v>1.45</v>
      </c>
      <c r="L68" s="271"/>
      <c r="M68" s="3">
        <f>4/100*5</f>
        <v>0.2</v>
      </c>
      <c r="N68" s="5"/>
      <c r="P68" s="25"/>
    </row>
    <row r="69" spans="1:16" ht="15" customHeight="1" thickBot="1">
      <c r="A69" s="294"/>
      <c r="B69" s="280" t="s">
        <v>23</v>
      </c>
      <c r="C69" s="281"/>
      <c r="D69" s="282"/>
      <c r="E69" s="15">
        <v>2</v>
      </c>
      <c r="F69" s="15">
        <v>2</v>
      </c>
      <c r="G69" s="142"/>
      <c r="H69" s="3">
        <f>0.4/100*2</f>
        <v>8.0000000000000002E-3</v>
      </c>
      <c r="I69" s="3">
        <f>78.5/100*2</f>
        <v>1.57</v>
      </c>
      <c r="J69" s="3">
        <f>0.5/100*2</f>
        <v>0.01</v>
      </c>
      <c r="K69" s="268">
        <f>734/100*2</f>
        <v>14.68</v>
      </c>
      <c r="L69" s="271"/>
      <c r="M69" s="3">
        <f>0.6/100*2</f>
        <v>1.2E-2</v>
      </c>
      <c r="N69" s="5"/>
    </row>
    <row r="70" spans="1:16" ht="15.75" thickBot="1">
      <c r="A70" s="294"/>
      <c r="B70" s="280" t="s">
        <v>36</v>
      </c>
      <c r="C70" s="281"/>
      <c r="D70" s="282"/>
      <c r="E70" s="15">
        <v>2</v>
      </c>
      <c r="F70" s="15">
        <v>2</v>
      </c>
      <c r="G70" s="142"/>
      <c r="H70" s="3">
        <v>0</v>
      </c>
      <c r="I70" s="3">
        <f>99.9/100*2</f>
        <v>1.9980000000000002</v>
      </c>
      <c r="J70" s="3">
        <v>0</v>
      </c>
      <c r="K70" s="268">
        <f>900/100*2</f>
        <v>18</v>
      </c>
      <c r="L70" s="271"/>
      <c r="M70" s="3">
        <v>0</v>
      </c>
      <c r="N70" s="5"/>
    </row>
    <row r="71" spans="1:16" ht="15.75" thickBot="1">
      <c r="A71" s="294"/>
      <c r="B71" s="280" t="s">
        <v>37</v>
      </c>
      <c r="C71" s="281"/>
      <c r="D71" s="282"/>
      <c r="E71" s="15">
        <v>6</v>
      </c>
      <c r="F71" s="15">
        <v>6</v>
      </c>
      <c r="G71" s="142"/>
      <c r="H71" s="3">
        <f>2.6/100*6</f>
        <v>0.15600000000000003</v>
      </c>
      <c r="I71" s="3">
        <f>15/100*6</f>
        <v>0.89999999999999991</v>
      </c>
      <c r="J71" s="3">
        <f>3.6/100*6</f>
        <v>0.21600000000000003</v>
      </c>
      <c r="K71" s="275">
        <f>160/100*6</f>
        <v>9.6000000000000014</v>
      </c>
      <c r="L71" s="276"/>
      <c r="M71" s="3">
        <v>0</v>
      </c>
      <c r="N71" s="5"/>
    </row>
    <row r="72" spans="1:16" ht="15.75" thickBot="1">
      <c r="A72" s="294"/>
      <c r="B72" s="280" t="s">
        <v>65</v>
      </c>
      <c r="C72" s="281"/>
      <c r="D72" s="281"/>
      <c r="E72" s="15">
        <v>10</v>
      </c>
      <c r="F72" s="15">
        <v>10</v>
      </c>
      <c r="G72" s="142"/>
      <c r="H72" s="15">
        <f>11.5/100*10</f>
        <v>1.1500000000000001</v>
      </c>
      <c r="I72" s="15">
        <f>3.3/100*10</f>
        <v>0.33</v>
      </c>
      <c r="J72" s="15">
        <f>65.5/100*10</f>
        <v>6.5500000000000007</v>
      </c>
      <c r="K72" s="218">
        <f>348/100*10</f>
        <v>34.799999999999997</v>
      </c>
      <c r="L72" s="262"/>
      <c r="M72" s="15">
        <v>0</v>
      </c>
      <c r="N72" s="257"/>
    </row>
    <row r="73" spans="1:16" ht="15.75" thickBot="1">
      <c r="A73" s="294"/>
      <c r="B73" s="278" t="s">
        <v>207</v>
      </c>
      <c r="C73" s="279"/>
      <c r="D73" s="279"/>
      <c r="E73" s="206"/>
      <c r="F73" s="205"/>
      <c r="G73" s="210">
        <v>30</v>
      </c>
      <c r="H73" s="15">
        <f>7/100*30</f>
        <v>2.1</v>
      </c>
      <c r="I73" s="15">
        <f>1/100*30</f>
        <v>0.3</v>
      </c>
      <c r="J73" s="15">
        <f>47/100*30</f>
        <v>14.1</v>
      </c>
      <c r="K73" s="221">
        <f>230/100*30</f>
        <v>69</v>
      </c>
      <c r="L73" s="204"/>
      <c r="M73" s="15">
        <v>0</v>
      </c>
      <c r="N73" s="85"/>
    </row>
    <row r="74" spans="1:16" ht="15.75" thickBot="1">
      <c r="A74" s="294"/>
      <c r="B74" s="278" t="s">
        <v>244</v>
      </c>
      <c r="C74" s="279"/>
      <c r="D74" s="279"/>
      <c r="E74" s="220"/>
      <c r="F74" s="21"/>
      <c r="G74" s="210">
        <v>180</v>
      </c>
      <c r="H74" s="233"/>
      <c r="I74" s="233"/>
      <c r="J74" s="233"/>
      <c r="K74" s="221"/>
      <c r="L74" s="222"/>
      <c r="M74" s="15"/>
      <c r="N74" s="5"/>
    </row>
    <row r="75" spans="1:16" ht="15.75" thickBot="1">
      <c r="A75" s="294"/>
      <c r="B75" s="277" t="s">
        <v>210</v>
      </c>
      <c r="C75" s="277"/>
      <c r="D75" s="277"/>
      <c r="E75" s="15">
        <v>0.6</v>
      </c>
      <c r="F75" s="15">
        <v>0.6</v>
      </c>
      <c r="G75" s="211"/>
      <c r="H75" s="202">
        <f>20/100*0.6</f>
        <v>0.12</v>
      </c>
      <c r="I75" s="202">
        <v>0</v>
      </c>
      <c r="J75" s="202">
        <f>6.9/100*0.6</f>
        <v>4.1399999999999999E-2</v>
      </c>
      <c r="K75" s="221">
        <f>109/100*0.6</f>
        <v>0.65400000000000003</v>
      </c>
      <c r="L75" s="222"/>
      <c r="M75" s="22">
        <f>10/100*0.6</f>
        <v>0.06</v>
      </c>
      <c r="N75" s="211"/>
    </row>
    <row r="76" spans="1:16" ht="15.75" thickBot="1">
      <c r="A76" s="295"/>
      <c r="B76" s="217"/>
      <c r="C76" s="206" t="s">
        <v>24</v>
      </c>
      <c r="D76" s="206"/>
      <c r="E76" s="15">
        <v>8</v>
      </c>
      <c r="F76" s="15">
        <v>8</v>
      </c>
      <c r="G76" s="1"/>
      <c r="H76" s="202">
        <v>0</v>
      </c>
      <c r="I76" s="202">
        <v>0</v>
      </c>
      <c r="J76" s="202">
        <f>100/100*8</f>
        <v>8</v>
      </c>
      <c r="K76" s="221">
        <f>400/100*8</f>
        <v>32</v>
      </c>
      <c r="L76" s="222"/>
      <c r="M76" s="22">
        <v>0</v>
      </c>
      <c r="N76" s="5"/>
    </row>
    <row r="77" spans="1:16">
      <c r="H77" s="37">
        <f t="shared" ref="H77:M77" si="0">SUM(H7:H76)</f>
        <v>54.372349999999997</v>
      </c>
      <c r="I77" s="37">
        <f t="shared" si="0"/>
        <v>72.928000000000011</v>
      </c>
      <c r="J77" s="37">
        <f t="shared" si="0"/>
        <v>204.1507</v>
      </c>
      <c r="K77" s="37">
        <f t="shared" si="0"/>
        <v>1677.3295499999999</v>
      </c>
      <c r="L77" s="37">
        <f t="shared" si="0"/>
        <v>0</v>
      </c>
      <c r="M77" s="37">
        <f t="shared" si="0"/>
        <v>42.2699</v>
      </c>
    </row>
  </sheetData>
  <mergeCells count="73">
    <mergeCell ref="B50:D50"/>
    <mergeCell ref="B64:F64"/>
    <mergeCell ref="K64:L64"/>
    <mergeCell ref="B44:D44"/>
    <mergeCell ref="B45:D45"/>
    <mergeCell ref="B46:D46"/>
    <mergeCell ref="B47:D47"/>
    <mergeCell ref="B49:D49"/>
    <mergeCell ref="K26:L26"/>
    <mergeCell ref="B31:D31"/>
    <mergeCell ref="B35:D35"/>
    <mergeCell ref="B36:D36"/>
    <mergeCell ref="B37:D37"/>
    <mergeCell ref="B13:D13"/>
    <mergeCell ref="B15:D15"/>
    <mergeCell ref="B16:D16"/>
    <mergeCell ref="B17:F17"/>
    <mergeCell ref="K17:L17"/>
    <mergeCell ref="A17:A54"/>
    <mergeCell ref="B25:D25"/>
    <mergeCell ref="B27:D27"/>
    <mergeCell ref="B23:D23"/>
    <mergeCell ref="B51:D51"/>
    <mergeCell ref="B54:D54"/>
    <mergeCell ref="B19:D19"/>
    <mergeCell ref="B20:D20"/>
    <mergeCell ref="B21:D21"/>
    <mergeCell ref="B26:F26"/>
    <mergeCell ref="B38:D38"/>
    <mergeCell ref="B41:D41"/>
    <mergeCell ref="B42:D42"/>
    <mergeCell ref="B43:F43"/>
    <mergeCell ref="A3:A4"/>
    <mergeCell ref="B3:D4"/>
    <mergeCell ref="E3:F3"/>
    <mergeCell ref="G3:G4"/>
    <mergeCell ref="B12:D12"/>
    <mergeCell ref="B10:D10"/>
    <mergeCell ref="N3:N4"/>
    <mergeCell ref="B6:F6"/>
    <mergeCell ref="B7:D7"/>
    <mergeCell ref="B8:D8"/>
    <mergeCell ref="B9:D9"/>
    <mergeCell ref="H3:J3"/>
    <mergeCell ref="K3:L4"/>
    <mergeCell ref="M3:M4"/>
    <mergeCell ref="A6:A16"/>
    <mergeCell ref="B11:D11"/>
    <mergeCell ref="B22:D22"/>
    <mergeCell ref="B33:D33"/>
    <mergeCell ref="B32:D32"/>
    <mergeCell ref="B62:D62"/>
    <mergeCell ref="B28:D28"/>
    <mergeCell ref="B29:D29"/>
    <mergeCell ref="B30:D30"/>
    <mergeCell ref="B34:D34"/>
    <mergeCell ref="B52:D52"/>
    <mergeCell ref="B53:D53"/>
    <mergeCell ref="B14:D14"/>
    <mergeCell ref="B18:D18"/>
    <mergeCell ref="B72:D72"/>
    <mergeCell ref="A64:A76"/>
    <mergeCell ref="B73:D73"/>
    <mergeCell ref="A55:A63"/>
    <mergeCell ref="B67:D67"/>
    <mergeCell ref="B68:D68"/>
    <mergeCell ref="B69:D69"/>
    <mergeCell ref="B66:D66"/>
    <mergeCell ref="B70:D70"/>
    <mergeCell ref="B75:D75"/>
    <mergeCell ref="B71:D71"/>
    <mergeCell ref="B74:D74"/>
    <mergeCell ref="B65:D65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62"/>
  <sheetViews>
    <sheetView zoomScaleNormal="100" workbookViewId="0">
      <selection activeCell="P17" sqref="P17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3" max="13" width="9.28515625" bestFit="1" customWidth="1"/>
  </cols>
  <sheetData>
    <row r="1" spans="1:16" ht="21">
      <c r="F1" s="50" t="s">
        <v>117</v>
      </c>
    </row>
    <row r="2" spans="1:16" ht="15.75" thickBot="1"/>
    <row r="3" spans="1:16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6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6" ht="15.75" thickBot="1">
      <c r="A5" s="2" t="s">
        <v>102</v>
      </c>
      <c r="B5" s="12"/>
      <c r="C5" s="13"/>
      <c r="D5" s="13"/>
      <c r="E5" s="13"/>
      <c r="F5" s="13"/>
      <c r="G5" s="195"/>
      <c r="H5" s="74">
        <f>H59</f>
        <v>64.797550000000001</v>
      </c>
      <c r="I5" s="74">
        <f>I59</f>
        <v>74.438999999999993</v>
      </c>
      <c r="J5" s="74">
        <f>J59</f>
        <v>226.08769999999996</v>
      </c>
      <c r="K5" s="196">
        <f>K59</f>
        <v>1791.1855499999997</v>
      </c>
      <c r="L5" s="197"/>
      <c r="M5" s="74">
        <f>M59</f>
        <v>17.336400000000001</v>
      </c>
      <c r="N5" s="195"/>
    </row>
    <row r="6" spans="1:16" ht="15.75" thickBot="1">
      <c r="A6" s="296" t="s">
        <v>4</v>
      </c>
      <c r="B6" s="278" t="s">
        <v>4</v>
      </c>
      <c r="C6" s="279"/>
      <c r="D6" s="279"/>
      <c r="E6" s="279"/>
      <c r="F6" s="298"/>
      <c r="G6" s="43"/>
      <c r="H6" s="43"/>
      <c r="I6" s="43"/>
      <c r="J6" s="43"/>
      <c r="K6" s="7"/>
      <c r="L6" s="8"/>
      <c r="M6" s="43"/>
      <c r="N6" s="43"/>
    </row>
    <row r="7" spans="1:16" ht="15.75" thickBot="1">
      <c r="A7" s="297"/>
      <c r="B7" s="278" t="s">
        <v>174</v>
      </c>
      <c r="C7" s="279"/>
      <c r="D7" s="279"/>
      <c r="E7" s="279"/>
      <c r="F7" s="298"/>
      <c r="G7" s="266">
        <v>200</v>
      </c>
      <c r="H7" s="257"/>
      <c r="I7" s="257"/>
      <c r="J7" s="257"/>
      <c r="K7" s="7"/>
      <c r="L7" s="8"/>
      <c r="M7" s="257"/>
      <c r="N7" s="257"/>
    </row>
    <row r="8" spans="1:16" ht="15.75" thickBot="1">
      <c r="A8" s="297"/>
      <c r="B8" s="280" t="s">
        <v>92</v>
      </c>
      <c r="C8" s="283"/>
      <c r="D8" s="284"/>
      <c r="E8" s="257">
        <v>30</v>
      </c>
      <c r="F8" s="257">
        <v>30</v>
      </c>
      <c r="G8" s="257"/>
      <c r="H8" s="4">
        <f>13/100*30</f>
        <v>3.9000000000000004</v>
      </c>
      <c r="I8" s="4">
        <f>6/100*30</f>
        <v>1.7999999999999998</v>
      </c>
      <c r="J8" s="258">
        <f>66/100*30</f>
        <v>19.8</v>
      </c>
      <c r="K8" s="275">
        <f>370/100*30</f>
        <v>111</v>
      </c>
      <c r="L8" s="259"/>
      <c r="M8" s="4">
        <v>0</v>
      </c>
      <c r="N8" s="5"/>
    </row>
    <row r="9" spans="1:16" ht="15.75" thickBot="1">
      <c r="A9" s="297"/>
      <c r="B9" s="280" t="s">
        <v>46</v>
      </c>
      <c r="C9" s="281"/>
      <c r="D9" s="281"/>
      <c r="E9" s="257">
        <v>150</v>
      </c>
      <c r="F9" s="257">
        <v>150</v>
      </c>
      <c r="G9" s="257"/>
      <c r="H9" s="257">
        <f>2.8/100*150</f>
        <v>4.1999999999999993</v>
      </c>
      <c r="I9" s="257">
        <f>2.5/100*150</f>
        <v>3.75</v>
      </c>
      <c r="J9" s="257">
        <f>4.7/100*150</f>
        <v>7.05</v>
      </c>
      <c r="K9" s="89">
        <f>55/100*150</f>
        <v>82.5</v>
      </c>
      <c r="L9" s="8"/>
      <c r="M9" s="257">
        <f>1/100*150</f>
        <v>1.5</v>
      </c>
      <c r="N9" s="257"/>
    </row>
    <row r="10" spans="1:16" ht="15.75" thickBot="1">
      <c r="A10" s="297"/>
      <c r="B10" s="280" t="s">
        <v>48</v>
      </c>
      <c r="C10" s="281"/>
      <c r="D10" s="281"/>
      <c r="E10" s="257">
        <v>5</v>
      </c>
      <c r="F10" s="257">
        <v>5</v>
      </c>
      <c r="G10" s="257"/>
      <c r="H10" s="257">
        <v>0</v>
      </c>
      <c r="I10" s="257">
        <v>0</v>
      </c>
      <c r="J10" s="257">
        <f>100/100*5</f>
        <v>5</v>
      </c>
      <c r="K10" s="89">
        <f>400/100*5</f>
        <v>20</v>
      </c>
      <c r="L10" s="8"/>
      <c r="M10" s="257">
        <v>0</v>
      </c>
      <c r="N10" s="257"/>
    </row>
    <row r="11" spans="1:16" ht="15.75" thickBot="1">
      <c r="A11" s="297"/>
      <c r="B11" s="280" t="s">
        <v>47</v>
      </c>
      <c r="C11" s="281"/>
      <c r="D11" s="281"/>
      <c r="E11" s="257">
        <v>5</v>
      </c>
      <c r="F11" s="257">
        <v>5</v>
      </c>
      <c r="G11" s="257"/>
      <c r="H11" s="257">
        <f>0.4/100*5</f>
        <v>0.02</v>
      </c>
      <c r="I11" s="257">
        <f>78.5/100*5</f>
        <v>3.9250000000000003</v>
      </c>
      <c r="J11" s="257">
        <f>0.5/100*5</f>
        <v>2.5000000000000001E-2</v>
      </c>
      <c r="K11" s="218">
        <f>734/100*5</f>
        <v>36.700000000000003</v>
      </c>
      <c r="L11" s="262"/>
      <c r="M11" s="257">
        <f>0.6/100*5</f>
        <v>0.03</v>
      </c>
      <c r="N11" s="257"/>
    </row>
    <row r="12" spans="1:16" ht="15.75" thickBot="1">
      <c r="A12" s="297"/>
      <c r="B12" s="278" t="s">
        <v>23</v>
      </c>
      <c r="C12" s="279"/>
      <c r="D12" s="279"/>
      <c r="E12" s="11">
        <v>5</v>
      </c>
      <c r="F12" s="11">
        <v>5</v>
      </c>
      <c r="G12" s="11">
        <v>5</v>
      </c>
      <c r="H12" s="3">
        <f>0.4/100*5</f>
        <v>0.02</v>
      </c>
      <c r="I12" s="3">
        <f>78.5/100*5</f>
        <v>3.9250000000000003</v>
      </c>
      <c r="J12" s="3">
        <f>0.5/100*5</f>
        <v>2.5000000000000001E-2</v>
      </c>
      <c r="K12" s="311">
        <f>734/100*5</f>
        <v>36.700000000000003</v>
      </c>
      <c r="L12" s="312"/>
      <c r="M12" s="3">
        <f>0.6/100*5</f>
        <v>0.03</v>
      </c>
      <c r="N12" s="5"/>
    </row>
    <row r="13" spans="1:16" ht="15.75" thickBot="1">
      <c r="A13" s="297"/>
      <c r="B13" s="278" t="s">
        <v>207</v>
      </c>
      <c r="C13" s="279"/>
      <c r="D13" s="279"/>
      <c r="E13" s="261"/>
      <c r="F13" s="262"/>
      <c r="G13" s="266">
        <v>30</v>
      </c>
      <c r="H13" s="257">
        <f>7/100*30</f>
        <v>2.1</v>
      </c>
      <c r="I13" s="257">
        <f>1/100*30</f>
        <v>0.3</v>
      </c>
      <c r="J13" s="257">
        <f>47/100*30</f>
        <v>14.1</v>
      </c>
      <c r="K13" s="275">
        <f>230/100*30</f>
        <v>69</v>
      </c>
      <c r="L13" s="259"/>
      <c r="M13" s="257">
        <v>0</v>
      </c>
      <c r="N13" s="85"/>
    </row>
    <row r="14" spans="1:16" ht="15.75" thickBot="1">
      <c r="A14" s="297"/>
      <c r="B14" s="278" t="s">
        <v>178</v>
      </c>
      <c r="C14" s="279"/>
      <c r="D14" s="279"/>
      <c r="E14" s="261"/>
      <c r="F14" s="262"/>
      <c r="G14" s="266">
        <v>180</v>
      </c>
      <c r="H14" s="257"/>
      <c r="I14" s="257"/>
      <c r="J14" s="257"/>
      <c r="K14" s="7"/>
      <c r="L14" s="8"/>
      <c r="M14" s="257"/>
      <c r="N14" s="257"/>
      <c r="P14" s="25"/>
    </row>
    <row r="15" spans="1:16" ht="15.75" thickBot="1">
      <c r="A15" s="297"/>
      <c r="B15" s="280" t="s">
        <v>49</v>
      </c>
      <c r="C15" s="281"/>
      <c r="D15" s="281"/>
      <c r="E15" s="257">
        <v>0.6</v>
      </c>
      <c r="F15" s="257">
        <v>0.6</v>
      </c>
      <c r="G15" s="257"/>
      <c r="H15" s="4">
        <f>24.5/100*0.6</f>
        <v>0.14699999999999999</v>
      </c>
      <c r="I15" s="4">
        <f>12.5/100*0.6</f>
        <v>7.4999999999999997E-2</v>
      </c>
      <c r="J15" s="4">
        <f>29.5/100*0.6</f>
        <v>0.17699999999999999</v>
      </c>
      <c r="K15" s="275">
        <f>338/100*0.6</f>
        <v>2.028</v>
      </c>
      <c r="L15" s="276"/>
      <c r="M15" s="4">
        <v>0</v>
      </c>
      <c r="N15" s="5"/>
    </row>
    <row r="16" spans="1:16" ht="15.75" thickBot="1">
      <c r="A16" s="297"/>
      <c r="B16" s="280" t="s">
        <v>46</v>
      </c>
      <c r="C16" s="281"/>
      <c r="D16" s="281"/>
      <c r="E16" s="257">
        <v>120</v>
      </c>
      <c r="F16" s="257">
        <v>120</v>
      </c>
      <c r="G16" s="257"/>
      <c r="H16" s="4">
        <v>3.36</v>
      </c>
      <c r="I16" s="4">
        <v>3</v>
      </c>
      <c r="J16" s="4">
        <f>4.7/100*120</f>
        <v>5.64</v>
      </c>
      <c r="K16" s="268">
        <f>55/100*120</f>
        <v>66</v>
      </c>
      <c r="L16" s="269"/>
      <c r="M16" s="4">
        <f>1/100*120</f>
        <v>1.2</v>
      </c>
      <c r="N16" s="5"/>
    </row>
    <row r="17" spans="1:14" ht="15.75" thickBot="1">
      <c r="A17" s="306"/>
      <c r="B17" s="280" t="s">
        <v>47</v>
      </c>
      <c r="C17" s="281"/>
      <c r="D17" s="281"/>
      <c r="E17" s="257">
        <v>10</v>
      </c>
      <c r="F17" s="257">
        <v>10</v>
      </c>
      <c r="G17" s="257"/>
      <c r="H17" s="4">
        <v>0</v>
      </c>
      <c r="I17" s="4">
        <v>0</v>
      </c>
      <c r="J17" s="4">
        <f>100/100*10</f>
        <v>10</v>
      </c>
      <c r="K17" s="275">
        <f>400/100*10</f>
        <v>40</v>
      </c>
      <c r="L17" s="276"/>
      <c r="M17" s="4">
        <v>0</v>
      </c>
      <c r="N17" s="5"/>
    </row>
    <row r="18" spans="1:14" ht="15.75" thickBot="1">
      <c r="A18" s="296" t="s">
        <v>5</v>
      </c>
      <c r="B18" s="278" t="s">
        <v>111</v>
      </c>
      <c r="C18" s="279"/>
      <c r="D18" s="279"/>
      <c r="E18" s="279"/>
      <c r="F18" s="298"/>
      <c r="G18" s="137">
        <v>250</v>
      </c>
      <c r="H18" s="3"/>
      <c r="I18" s="3"/>
      <c r="J18" s="3"/>
      <c r="K18" s="287"/>
      <c r="L18" s="288"/>
      <c r="M18" s="3"/>
      <c r="N18" s="5"/>
    </row>
    <row r="19" spans="1:14" ht="15.75" thickBot="1">
      <c r="A19" s="297"/>
      <c r="B19" s="277" t="s">
        <v>28</v>
      </c>
      <c r="C19" s="277"/>
      <c r="D19" s="277"/>
      <c r="E19" s="15">
        <v>20</v>
      </c>
      <c r="F19" s="15">
        <v>20</v>
      </c>
      <c r="G19" s="142"/>
      <c r="H19" s="3">
        <f>18.9/100*20</f>
        <v>3.7799999999999994</v>
      </c>
      <c r="I19" s="3">
        <f>12.4/100*20</f>
        <v>2.48</v>
      </c>
      <c r="J19" s="3">
        <v>0</v>
      </c>
      <c r="K19" s="275">
        <f>187/100*20</f>
        <v>37.400000000000006</v>
      </c>
      <c r="L19" s="259"/>
      <c r="M19" s="3">
        <v>0</v>
      </c>
      <c r="N19" s="5"/>
    </row>
    <row r="20" spans="1:14" ht="15.75" thickBot="1">
      <c r="A20" s="297"/>
      <c r="B20" s="277" t="s">
        <v>33</v>
      </c>
      <c r="C20" s="277"/>
      <c r="D20" s="277"/>
      <c r="E20" s="15">
        <v>100</v>
      </c>
      <c r="F20" s="15">
        <v>87.5</v>
      </c>
      <c r="G20" s="142"/>
      <c r="H20" s="3">
        <f>1.2/100*87.5</f>
        <v>1.05</v>
      </c>
      <c r="I20" s="3">
        <v>0</v>
      </c>
      <c r="J20" s="3">
        <f>14/100*87.5</f>
        <v>12.250000000000002</v>
      </c>
      <c r="K20" s="268">
        <f>62/100*87.5</f>
        <v>54.25</v>
      </c>
      <c r="L20" s="271"/>
      <c r="M20" s="3">
        <f>7.5/100*87.5</f>
        <v>6.5625</v>
      </c>
      <c r="N20" s="5"/>
    </row>
    <row r="21" spans="1:14" ht="15.75" thickBot="1">
      <c r="A21" s="297"/>
      <c r="B21" s="277" t="s">
        <v>34</v>
      </c>
      <c r="C21" s="277"/>
      <c r="D21" s="277"/>
      <c r="E21" s="15">
        <v>7</v>
      </c>
      <c r="F21" s="15">
        <v>5</v>
      </c>
      <c r="G21" s="142"/>
      <c r="H21" s="3">
        <f>0.2/100*5</f>
        <v>0.01</v>
      </c>
      <c r="I21" s="3">
        <v>0</v>
      </c>
      <c r="J21" s="3">
        <f>10/100*5</f>
        <v>0.5</v>
      </c>
      <c r="K21" s="268">
        <f>42/100*5</f>
        <v>2.1</v>
      </c>
      <c r="L21" s="271"/>
      <c r="M21" s="3">
        <f>8.5/100*5</f>
        <v>0.42500000000000004</v>
      </c>
      <c r="N21" s="5"/>
    </row>
    <row r="22" spans="1:14" ht="15.75" thickBot="1">
      <c r="A22" s="297"/>
      <c r="B22" s="277" t="s">
        <v>35</v>
      </c>
      <c r="C22" s="277"/>
      <c r="D22" s="277"/>
      <c r="E22" s="15">
        <v>7</v>
      </c>
      <c r="F22" s="15">
        <v>5</v>
      </c>
      <c r="G22" s="142"/>
      <c r="H22" s="3">
        <f>1/100*5</f>
        <v>0.05</v>
      </c>
      <c r="I22" s="3">
        <v>0</v>
      </c>
      <c r="J22" s="3">
        <f>6.1/100*5</f>
        <v>0.30499999999999999</v>
      </c>
      <c r="K22" s="268">
        <f>29/100*5</f>
        <v>1.45</v>
      </c>
      <c r="L22" s="271"/>
      <c r="M22" s="3">
        <f>4/100*5</f>
        <v>0.2</v>
      </c>
      <c r="N22" s="5"/>
    </row>
    <row r="23" spans="1:14" ht="15.75" thickBot="1">
      <c r="A23" s="297"/>
      <c r="B23" s="280" t="s">
        <v>23</v>
      </c>
      <c r="C23" s="281"/>
      <c r="D23" s="281"/>
      <c r="E23" s="15">
        <v>2</v>
      </c>
      <c r="F23" s="15">
        <v>2</v>
      </c>
      <c r="G23" s="142"/>
      <c r="H23" s="3">
        <f>0.4/100*2</f>
        <v>8.0000000000000002E-3</v>
      </c>
      <c r="I23" s="3">
        <f>78.5/100*2</f>
        <v>1.57</v>
      </c>
      <c r="J23" s="3">
        <f>0.5/100*2</f>
        <v>0.01</v>
      </c>
      <c r="K23" s="268">
        <f>734/100*2</f>
        <v>14.68</v>
      </c>
      <c r="L23" s="271"/>
      <c r="M23" s="3">
        <f>0.6/100*2</f>
        <v>1.2E-2</v>
      </c>
      <c r="N23" s="5"/>
    </row>
    <row r="24" spans="1:14" ht="15.75" thickBot="1">
      <c r="A24" s="297"/>
      <c r="B24" s="277" t="s">
        <v>36</v>
      </c>
      <c r="C24" s="277"/>
      <c r="D24" s="277"/>
      <c r="E24" s="15">
        <v>2</v>
      </c>
      <c r="F24" s="15">
        <v>2</v>
      </c>
      <c r="G24" s="142"/>
      <c r="H24" s="3">
        <v>0</v>
      </c>
      <c r="I24" s="3">
        <f>99.9/100*2</f>
        <v>1.9980000000000002</v>
      </c>
      <c r="J24" s="3">
        <v>0</v>
      </c>
      <c r="K24" s="268">
        <f>900/100*2</f>
        <v>18</v>
      </c>
      <c r="L24" s="271"/>
      <c r="M24" s="22">
        <v>0</v>
      </c>
      <c r="N24" s="5"/>
    </row>
    <row r="25" spans="1:14" ht="15.75" thickBot="1">
      <c r="A25" s="297"/>
      <c r="B25" s="277" t="s">
        <v>37</v>
      </c>
      <c r="C25" s="277"/>
      <c r="D25" s="277"/>
      <c r="E25" s="15">
        <v>8</v>
      </c>
      <c r="F25" s="15">
        <v>8</v>
      </c>
      <c r="G25" s="142"/>
      <c r="H25" s="3">
        <f>2.6/100*8</f>
        <v>0.20800000000000002</v>
      </c>
      <c r="I25" s="3">
        <f>15/100*8</f>
        <v>1.2</v>
      </c>
      <c r="J25" s="3">
        <f>3.6/100*8</f>
        <v>0.28800000000000003</v>
      </c>
      <c r="K25" s="275">
        <f>160/100*8</f>
        <v>12.8</v>
      </c>
      <c r="L25" s="259"/>
      <c r="M25" s="22">
        <v>0</v>
      </c>
      <c r="N25" s="5"/>
    </row>
    <row r="26" spans="1:14" ht="15.75" thickBot="1">
      <c r="A26" s="297"/>
      <c r="B26" s="277" t="s">
        <v>198</v>
      </c>
      <c r="C26" s="277"/>
      <c r="D26" s="277"/>
      <c r="E26" s="15">
        <v>5</v>
      </c>
      <c r="F26" s="15">
        <v>5</v>
      </c>
      <c r="G26" s="142"/>
      <c r="H26" s="3">
        <f>12.7/100*5</f>
        <v>0.63500000000000001</v>
      </c>
      <c r="I26" s="3">
        <f>11.5/100*5</f>
        <v>0.57500000000000007</v>
      </c>
      <c r="J26" s="3">
        <f>0.7/100*5</f>
        <v>3.4999999999999996E-2</v>
      </c>
      <c r="K26" s="275">
        <f>241/100*5</f>
        <v>12.05</v>
      </c>
      <c r="L26" s="259"/>
      <c r="M26" s="22">
        <v>0</v>
      </c>
      <c r="N26" s="5"/>
    </row>
    <row r="27" spans="1:14" ht="15.75" thickBot="1">
      <c r="A27" s="297"/>
      <c r="B27" s="280" t="s">
        <v>135</v>
      </c>
      <c r="C27" s="281"/>
      <c r="D27" s="281"/>
      <c r="E27" s="15">
        <v>10</v>
      </c>
      <c r="F27" s="15">
        <v>10</v>
      </c>
      <c r="G27" s="142"/>
      <c r="H27" s="15">
        <f>10/100*10</f>
        <v>1</v>
      </c>
      <c r="I27" s="15">
        <f>1/100*10</f>
        <v>0.1</v>
      </c>
      <c r="J27" s="15">
        <f>71/100*10</f>
        <v>7.1</v>
      </c>
      <c r="K27" s="218">
        <f>340/100*10</f>
        <v>34</v>
      </c>
      <c r="L27" s="262"/>
      <c r="M27" s="15">
        <v>0</v>
      </c>
      <c r="N27" s="257"/>
    </row>
    <row r="28" spans="1:14" ht="15.75" thickBot="1">
      <c r="A28" s="297"/>
      <c r="B28" s="278" t="s">
        <v>123</v>
      </c>
      <c r="C28" s="279"/>
      <c r="D28" s="279"/>
      <c r="E28" s="279"/>
      <c r="F28" s="298"/>
      <c r="G28" s="66">
        <v>150</v>
      </c>
      <c r="H28" s="3"/>
      <c r="I28" s="3"/>
      <c r="J28" s="3"/>
      <c r="K28" s="270"/>
      <c r="L28" s="271"/>
      <c r="M28" s="3"/>
      <c r="N28" s="5"/>
    </row>
    <row r="29" spans="1:14" ht="15.75" thickBot="1">
      <c r="A29" s="297"/>
      <c r="B29" s="280" t="s">
        <v>87</v>
      </c>
      <c r="C29" s="283"/>
      <c r="D29" s="284"/>
      <c r="E29" s="15">
        <v>52</v>
      </c>
      <c r="F29" s="15">
        <v>52</v>
      </c>
      <c r="G29" s="257"/>
      <c r="H29" s="3">
        <f>12.6/100*52</f>
        <v>6.5519999999999996</v>
      </c>
      <c r="I29" s="3">
        <f>3.3/100*52</f>
        <v>1.7160000000000002</v>
      </c>
      <c r="J29" s="3">
        <f>60.7/100*52</f>
        <v>31.564</v>
      </c>
      <c r="K29" s="275">
        <f>335/100*52</f>
        <v>174.20000000000002</v>
      </c>
      <c r="L29" s="273"/>
      <c r="M29" s="3">
        <v>0</v>
      </c>
      <c r="N29" s="5"/>
    </row>
    <row r="30" spans="1:14" ht="15.75" thickBot="1">
      <c r="A30" s="297"/>
      <c r="B30" s="280" t="s">
        <v>23</v>
      </c>
      <c r="C30" s="281"/>
      <c r="D30" s="281"/>
      <c r="E30" s="15">
        <v>7</v>
      </c>
      <c r="F30" s="15">
        <v>7</v>
      </c>
      <c r="G30" s="3"/>
      <c r="H30" s="3">
        <f>0.4/100*7</f>
        <v>2.8000000000000001E-2</v>
      </c>
      <c r="I30" s="3">
        <f>78/100*7</f>
        <v>5.46</v>
      </c>
      <c r="J30" s="3">
        <f>0.5/100*7</f>
        <v>3.5000000000000003E-2</v>
      </c>
      <c r="K30" s="275">
        <f>734/100*7</f>
        <v>51.379999999999995</v>
      </c>
      <c r="L30" s="259"/>
      <c r="M30" s="3">
        <f>0.6/100*7</f>
        <v>4.2000000000000003E-2</v>
      </c>
      <c r="N30" s="5"/>
    </row>
    <row r="31" spans="1:14" ht="15.75" thickBot="1">
      <c r="A31" s="297"/>
      <c r="B31" s="12" t="s">
        <v>162</v>
      </c>
      <c r="C31" s="13"/>
      <c r="D31" s="13"/>
      <c r="E31" s="220"/>
      <c r="F31" s="21"/>
      <c r="G31" s="66">
        <v>80</v>
      </c>
      <c r="H31" s="3"/>
      <c r="I31" s="3"/>
      <c r="J31" s="3"/>
      <c r="K31" s="270"/>
      <c r="L31" s="271"/>
      <c r="M31" s="3"/>
      <c r="N31" s="5"/>
    </row>
    <row r="32" spans="1:14" ht="15.75" thickBot="1">
      <c r="A32" s="297"/>
      <c r="B32" s="277" t="s">
        <v>163</v>
      </c>
      <c r="C32" s="277"/>
      <c r="D32" s="277"/>
      <c r="E32" s="15">
        <v>100</v>
      </c>
      <c r="F32" s="15">
        <v>100</v>
      </c>
      <c r="G32" s="3"/>
      <c r="H32" s="3">
        <f>19/100*100</f>
        <v>19</v>
      </c>
      <c r="I32" s="3">
        <v>14</v>
      </c>
      <c r="J32" s="3">
        <v>0</v>
      </c>
      <c r="K32" s="268">
        <v>200</v>
      </c>
      <c r="L32" s="271"/>
      <c r="M32" s="3">
        <v>0</v>
      </c>
      <c r="N32" s="5"/>
    </row>
    <row r="33" spans="1:17" ht="15.75" thickBot="1">
      <c r="A33" s="297"/>
      <c r="B33" s="277" t="s">
        <v>63</v>
      </c>
      <c r="C33" s="277"/>
      <c r="D33" s="277"/>
      <c r="E33" s="15">
        <v>4</v>
      </c>
      <c r="F33" s="15">
        <v>4</v>
      </c>
      <c r="G33" s="3"/>
      <c r="H33" s="3">
        <f>2.6/100*4</f>
        <v>0.10400000000000001</v>
      </c>
      <c r="I33" s="3">
        <f>15/100*4</f>
        <v>0.6</v>
      </c>
      <c r="J33" s="3">
        <f>3.6/100*4</f>
        <v>0.14400000000000002</v>
      </c>
      <c r="K33" s="275">
        <f>160/100*4</f>
        <v>6.4</v>
      </c>
      <c r="L33" s="276"/>
      <c r="M33" s="3">
        <v>0</v>
      </c>
      <c r="N33" s="5"/>
    </row>
    <row r="34" spans="1:17" ht="15.75" thickBot="1">
      <c r="A34" s="297"/>
      <c r="B34" s="277" t="s">
        <v>39</v>
      </c>
      <c r="C34" s="277"/>
      <c r="D34" s="277"/>
      <c r="E34" s="15">
        <v>2.1</v>
      </c>
      <c r="F34" s="15">
        <v>2</v>
      </c>
      <c r="G34" s="3"/>
      <c r="H34" s="3">
        <f>6.5/100*2</f>
        <v>0.13</v>
      </c>
      <c r="I34" s="3">
        <f>0.5/100*2</f>
        <v>0.01</v>
      </c>
      <c r="J34" s="3">
        <f>29.9/100*2</f>
        <v>0.59799999999999998</v>
      </c>
      <c r="K34" s="268">
        <f>142/100*2</f>
        <v>2.84</v>
      </c>
      <c r="L34" s="271"/>
      <c r="M34" s="3">
        <f>31.2/100*2</f>
        <v>0.624</v>
      </c>
      <c r="N34" s="5"/>
    </row>
    <row r="35" spans="1:17" ht="15.75" thickBot="1">
      <c r="A35" s="297"/>
      <c r="B35" s="278" t="s">
        <v>145</v>
      </c>
      <c r="C35" s="279"/>
      <c r="D35" s="279"/>
      <c r="E35" s="279"/>
      <c r="F35" s="298"/>
      <c r="G35" s="137">
        <v>70</v>
      </c>
      <c r="H35" s="1"/>
      <c r="I35" s="1"/>
      <c r="J35" s="1"/>
      <c r="K35" s="272"/>
      <c r="L35" s="273"/>
      <c r="M35" s="1"/>
      <c r="N35" s="5"/>
    </row>
    <row r="36" spans="1:17" ht="15.75" thickBot="1">
      <c r="A36" s="297"/>
      <c r="B36" s="280" t="s">
        <v>48</v>
      </c>
      <c r="C36" s="283"/>
      <c r="D36" s="284"/>
      <c r="E36" s="15">
        <v>2</v>
      </c>
      <c r="F36" s="15">
        <v>2</v>
      </c>
      <c r="G36" s="5"/>
      <c r="H36" s="3">
        <f>0.4/100*2</f>
        <v>8.0000000000000002E-3</v>
      </c>
      <c r="I36" s="3">
        <f>78.5/100*2</f>
        <v>1.57</v>
      </c>
      <c r="J36" s="3">
        <f>0.5/100*2</f>
        <v>0.01</v>
      </c>
      <c r="K36" s="275">
        <f>734/100*2</f>
        <v>14.68</v>
      </c>
      <c r="L36" s="276"/>
      <c r="M36" s="3">
        <v>0</v>
      </c>
      <c r="N36" s="5"/>
      <c r="Q36" s="25"/>
    </row>
    <row r="37" spans="1:17" ht="15.75" thickBot="1">
      <c r="A37" s="297"/>
      <c r="B37" s="277" t="s">
        <v>60</v>
      </c>
      <c r="C37" s="277"/>
      <c r="D37" s="277"/>
      <c r="E37" s="15">
        <v>2</v>
      </c>
      <c r="F37" s="15">
        <v>2</v>
      </c>
      <c r="G37" s="3"/>
      <c r="H37" s="1">
        <v>0</v>
      </c>
      <c r="I37" s="1">
        <f>99.9/100*2</f>
        <v>1.9980000000000002</v>
      </c>
      <c r="J37" s="1">
        <v>0</v>
      </c>
      <c r="K37" s="275">
        <f>900/100*2</f>
        <v>18</v>
      </c>
      <c r="L37" s="276"/>
      <c r="M37" s="1">
        <v>0</v>
      </c>
      <c r="N37" s="5"/>
    </row>
    <row r="38" spans="1:17" ht="15.75" thickBot="1">
      <c r="A38" s="55"/>
      <c r="B38" s="277" t="s">
        <v>54</v>
      </c>
      <c r="C38" s="277"/>
      <c r="D38" s="277"/>
      <c r="E38" s="15">
        <v>7</v>
      </c>
      <c r="F38" s="15">
        <v>5</v>
      </c>
      <c r="G38" s="3"/>
      <c r="H38" s="3">
        <f>0.2/100*5</f>
        <v>0.01</v>
      </c>
      <c r="I38" s="3">
        <v>0</v>
      </c>
      <c r="J38" s="3">
        <f>10/100*5</f>
        <v>0.5</v>
      </c>
      <c r="K38" s="268">
        <f>42/100*5</f>
        <v>2.1</v>
      </c>
      <c r="L38" s="271"/>
      <c r="M38" s="3">
        <f>8.5/100*5</f>
        <v>0.42500000000000004</v>
      </c>
      <c r="N38" s="5"/>
    </row>
    <row r="39" spans="1:17" ht="15.75" thickBot="1">
      <c r="A39" s="55"/>
      <c r="B39" s="280" t="s">
        <v>55</v>
      </c>
      <c r="C39" s="281"/>
      <c r="D39" s="281"/>
      <c r="E39" s="15">
        <v>7</v>
      </c>
      <c r="F39" s="15">
        <v>5</v>
      </c>
      <c r="G39" s="3"/>
      <c r="H39" s="3">
        <f>1/100*5</f>
        <v>0.05</v>
      </c>
      <c r="I39" s="3">
        <v>0</v>
      </c>
      <c r="J39" s="3">
        <f>6.1/100*5</f>
        <v>0.30499999999999999</v>
      </c>
      <c r="K39" s="268">
        <f>29/100*5</f>
        <v>1.45</v>
      </c>
      <c r="L39" s="271"/>
      <c r="M39" s="3">
        <f>4/100*5</f>
        <v>0.2</v>
      </c>
      <c r="N39" s="5"/>
    </row>
    <row r="40" spans="1:17" ht="15.75" thickBot="1">
      <c r="A40" s="55"/>
      <c r="B40" s="260"/>
      <c r="C40" s="261" t="s">
        <v>51</v>
      </c>
      <c r="D40" s="265"/>
      <c r="E40" s="15">
        <v>12</v>
      </c>
      <c r="F40" s="15">
        <v>12</v>
      </c>
      <c r="G40" s="5"/>
      <c r="H40" s="3">
        <f>10.3/100*12</f>
        <v>1.2360000000000002</v>
      </c>
      <c r="I40" s="3">
        <f>1.1/100*12</f>
        <v>0.13200000000000001</v>
      </c>
      <c r="J40" s="3">
        <f>70.6/100*12</f>
        <v>8.4719999999999995</v>
      </c>
      <c r="K40" s="268">
        <f>334/100*12</f>
        <v>40.08</v>
      </c>
      <c r="L40" s="271"/>
      <c r="M40" s="3">
        <v>0</v>
      </c>
      <c r="N40" s="5"/>
    </row>
    <row r="41" spans="1:17" ht="15.75" thickBot="1">
      <c r="A41" s="55"/>
      <c r="B41" s="280" t="s">
        <v>78</v>
      </c>
      <c r="C41" s="283"/>
      <c r="D41" s="284"/>
      <c r="E41" s="15">
        <v>7</v>
      </c>
      <c r="F41" s="15">
        <v>7</v>
      </c>
      <c r="G41" s="5"/>
      <c r="H41" s="3">
        <f>2.2/100*7</f>
        <v>0.15400000000000003</v>
      </c>
      <c r="I41" s="3">
        <v>0</v>
      </c>
      <c r="J41" s="3">
        <f>15.8/100*7</f>
        <v>1.1060000000000001</v>
      </c>
      <c r="K41" s="268">
        <f>63.2/100*7</f>
        <v>4.4240000000000004</v>
      </c>
      <c r="L41" s="271"/>
      <c r="M41" s="3">
        <f>26/100*7</f>
        <v>1.82</v>
      </c>
      <c r="N41" s="5"/>
    </row>
    <row r="42" spans="1:17" ht="15.75" thickBot="1">
      <c r="A42" s="55"/>
      <c r="B42" s="277" t="s">
        <v>72</v>
      </c>
      <c r="C42" s="277"/>
      <c r="D42" s="277"/>
      <c r="E42" s="15">
        <v>3</v>
      </c>
      <c r="F42" s="15">
        <v>2.8</v>
      </c>
      <c r="G42" s="3"/>
      <c r="H42" s="1">
        <f>0.8/1400*2.8</f>
        <v>1.6000000000000001E-3</v>
      </c>
      <c r="I42" s="1">
        <v>0</v>
      </c>
      <c r="J42" s="1">
        <f>3.3/100*2.8</f>
        <v>9.2399999999999996E-2</v>
      </c>
      <c r="K42" s="275">
        <f>17/100*2.8</f>
        <v>0.47599999999999998</v>
      </c>
      <c r="L42" s="276"/>
      <c r="M42" s="1">
        <f>7.06/2</f>
        <v>3.53</v>
      </c>
      <c r="N42" s="5"/>
    </row>
    <row r="43" spans="1:17" ht="15.75" thickBot="1">
      <c r="A43" s="263"/>
      <c r="B43" s="278" t="s">
        <v>129</v>
      </c>
      <c r="C43" s="279"/>
      <c r="D43" s="279"/>
      <c r="E43" s="220"/>
      <c r="F43" s="21"/>
      <c r="G43" s="66">
        <v>50</v>
      </c>
      <c r="H43" s="3">
        <f>7/100*50</f>
        <v>3.5000000000000004</v>
      </c>
      <c r="I43" s="3">
        <f>1/100*50</f>
        <v>0.5</v>
      </c>
      <c r="J43" s="3">
        <f>46/100*50</f>
        <v>23</v>
      </c>
      <c r="K43" s="287">
        <f>200/100*50</f>
        <v>100</v>
      </c>
      <c r="L43" s="288"/>
      <c r="M43" s="3">
        <v>0</v>
      </c>
      <c r="N43" s="5"/>
    </row>
    <row r="44" spans="1:17" ht="15.75" thickBot="1">
      <c r="A44" s="263"/>
      <c r="B44" s="278" t="s">
        <v>40</v>
      </c>
      <c r="C44" s="279"/>
      <c r="D44" s="279"/>
      <c r="E44" s="220"/>
      <c r="F44" s="21"/>
      <c r="G44" s="66">
        <v>180</v>
      </c>
      <c r="H44" s="3"/>
      <c r="I44" s="3"/>
      <c r="J44" s="3"/>
      <c r="K44" s="270"/>
      <c r="L44" s="271"/>
      <c r="M44" s="3"/>
      <c r="N44" s="5"/>
    </row>
    <row r="45" spans="1:17" ht="15.75" thickBot="1">
      <c r="A45" s="263"/>
      <c r="B45" s="280" t="s">
        <v>57</v>
      </c>
      <c r="C45" s="281"/>
      <c r="D45" s="282"/>
      <c r="E45" s="257">
        <v>11</v>
      </c>
      <c r="F45" s="257">
        <v>16.5</v>
      </c>
      <c r="G45" s="3"/>
      <c r="H45" s="4">
        <f>0.63/100*16.5</f>
        <v>0.10395</v>
      </c>
      <c r="I45" s="4">
        <v>0</v>
      </c>
      <c r="J45" s="4">
        <f>10.06/100*16.5</f>
        <v>1.6599000000000002</v>
      </c>
      <c r="K45" s="275">
        <f>40.87/100*16.5</f>
        <v>6.743549999999999</v>
      </c>
      <c r="L45" s="276"/>
      <c r="M45" s="4">
        <f>0.46/100*16.5</f>
        <v>7.5899999999999995E-2</v>
      </c>
      <c r="N45" s="5"/>
    </row>
    <row r="46" spans="1:17" ht="15.75" thickBot="1">
      <c r="A46" s="55"/>
      <c r="B46" s="280" t="s">
        <v>47</v>
      </c>
      <c r="C46" s="281"/>
      <c r="D46" s="282"/>
      <c r="E46" s="257">
        <v>10</v>
      </c>
      <c r="F46" s="257">
        <v>10</v>
      </c>
      <c r="G46" s="5"/>
      <c r="H46" s="4">
        <v>0</v>
      </c>
      <c r="I46" s="4">
        <v>0</v>
      </c>
      <c r="J46" s="4">
        <f>100/100*10</f>
        <v>10</v>
      </c>
      <c r="K46" s="275">
        <f>400/100*10</f>
        <v>40</v>
      </c>
      <c r="L46" s="276"/>
      <c r="M46" s="4">
        <v>0</v>
      </c>
      <c r="N46" s="5"/>
    </row>
    <row r="47" spans="1:17" ht="15.75" thickBot="1">
      <c r="A47" s="296" t="s">
        <v>6</v>
      </c>
      <c r="B47" s="12" t="s">
        <v>139</v>
      </c>
      <c r="C47" s="13"/>
      <c r="D47" s="13"/>
      <c r="E47" s="220"/>
      <c r="F47" s="21"/>
      <c r="G47" s="66">
        <v>20</v>
      </c>
      <c r="H47" s="4">
        <f>8.5/100*G47</f>
        <v>1.7000000000000002</v>
      </c>
      <c r="I47" s="4">
        <f>3.5/100*G47</f>
        <v>0.70000000000000007</v>
      </c>
      <c r="J47" s="4">
        <f>69/100*G47</f>
        <v>13.799999999999999</v>
      </c>
      <c r="K47" s="275">
        <f>340/100*G47</f>
        <v>68</v>
      </c>
      <c r="L47" s="276"/>
      <c r="M47" s="4">
        <v>0</v>
      </c>
      <c r="N47" s="68"/>
    </row>
    <row r="48" spans="1:17" ht="15.75" thickBot="1">
      <c r="A48" s="297"/>
      <c r="B48" s="278" t="s">
        <v>147</v>
      </c>
      <c r="C48" s="279"/>
      <c r="D48" s="279"/>
      <c r="E48" s="220"/>
      <c r="F48" s="21"/>
      <c r="G48" s="137">
        <v>180</v>
      </c>
      <c r="H48" s="3"/>
      <c r="I48" s="3"/>
      <c r="J48" s="3"/>
      <c r="K48" s="311"/>
      <c r="L48" s="312"/>
      <c r="M48" s="3"/>
      <c r="N48" s="5"/>
    </row>
    <row r="49" spans="1:14" ht="15.75" thickBot="1">
      <c r="A49" s="297"/>
      <c r="B49" s="280" t="s">
        <v>56</v>
      </c>
      <c r="C49" s="281"/>
      <c r="D49" s="282"/>
      <c r="E49" s="257">
        <v>20</v>
      </c>
      <c r="F49" s="257">
        <v>20</v>
      </c>
      <c r="G49" s="4"/>
      <c r="H49" s="4">
        <f>1/100*20</f>
        <v>0.2</v>
      </c>
      <c r="I49" s="4">
        <v>0</v>
      </c>
      <c r="J49" s="4">
        <f>95.5/100*20</f>
        <v>19.099999999999998</v>
      </c>
      <c r="K49" s="258">
        <f>382.4/100*20</f>
        <v>76.47999999999999</v>
      </c>
      <c r="L49" s="276"/>
      <c r="M49" s="4">
        <v>0</v>
      </c>
      <c r="N49" s="5"/>
    </row>
    <row r="50" spans="1:14" ht="15.75" thickBot="1">
      <c r="A50" s="297"/>
      <c r="B50" s="322" t="s">
        <v>47</v>
      </c>
      <c r="C50" s="283"/>
      <c r="D50" s="284"/>
      <c r="E50" s="257">
        <v>8</v>
      </c>
      <c r="F50" s="257">
        <v>8</v>
      </c>
      <c r="G50" s="68"/>
      <c r="H50" s="4">
        <v>0</v>
      </c>
      <c r="I50" s="4">
        <v>0</v>
      </c>
      <c r="J50" s="4">
        <f>100/100*8</f>
        <v>8</v>
      </c>
      <c r="K50" s="258">
        <f>400/100*8</f>
        <v>32</v>
      </c>
      <c r="L50" s="276"/>
      <c r="M50" s="4">
        <v>0</v>
      </c>
      <c r="N50" s="5"/>
    </row>
    <row r="51" spans="1:14" ht="15.75" thickBot="1">
      <c r="A51" s="293" t="s">
        <v>7</v>
      </c>
      <c r="B51" s="278" t="s">
        <v>148</v>
      </c>
      <c r="C51" s="279"/>
      <c r="D51" s="279"/>
      <c r="E51" s="261"/>
      <c r="F51" s="262"/>
      <c r="G51" s="137">
        <v>100</v>
      </c>
      <c r="H51" s="4"/>
      <c r="I51" s="4"/>
      <c r="J51" s="4"/>
      <c r="K51" s="285"/>
      <c r="L51" s="286"/>
      <c r="M51" s="4"/>
      <c r="N51" s="68"/>
    </row>
    <row r="52" spans="1:14" ht="15.75" thickBot="1">
      <c r="A52" s="294"/>
      <c r="B52" s="280" t="s">
        <v>48</v>
      </c>
      <c r="C52" s="281"/>
      <c r="D52" s="281"/>
      <c r="E52" s="257">
        <v>3</v>
      </c>
      <c r="F52" s="257">
        <v>3</v>
      </c>
      <c r="G52" s="4"/>
      <c r="H52" s="4">
        <f>0.4/100*3</f>
        <v>1.2E-2</v>
      </c>
      <c r="I52" s="4">
        <f>78.5/100*3</f>
        <v>2.355</v>
      </c>
      <c r="J52" s="4">
        <f>0.5/100*3</f>
        <v>1.4999999999999999E-2</v>
      </c>
      <c r="K52" s="275">
        <f>734/100*3</f>
        <v>22.02</v>
      </c>
      <c r="L52" s="259"/>
      <c r="M52" s="4">
        <v>0</v>
      </c>
      <c r="N52" s="68"/>
    </row>
    <row r="53" spans="1:14" ht="15.75" thickBot="1">
      <c r="A53" s="294"/>
      <c r="B53" s="277" t="s">
        <v>50</v>
      </c>
      <c r="C53" s="277"/>
      <c r="D53" s="277"/>
      <c r="E53" s="257">
        <v>60</v>
      </c>
      <c r="F53" s="257">
        <v>60</v>
      </c>
      <c r="G53" s="4"/>
      <c r="H53" s="4">
        <f>12.7/100*60</f>
        <v>7.62</v>
      </c>
      <c r="I53" s="4">
        <f>11.5/100*60</f>
        <v>6.9</v>
      </c>
      <c r="J53" s="4">
        <f>0.7/100*60</f>
        <v>0.41999999999999993</v>
      </c>
      <c r="K53" s="268">
        <f>241/100*60</f>
        <v>144.60000000000002</v>
      </c>
      <c r="L53" s="271"/>
      <c r="M53" s="4">
        <v>0</v>
      </c>
      <c r="N53" s="68"/>
    </row>
    <row r="54" spans="1:14" ht="15.75" thickBot="1">
      <c r="A54" s="294"/>
      <c r="B54" s="280" t="s">
        <v>46</v>
      </c>
      <c r="C54" s="281"/>
      <c r="D54" s="281"/>
      <c r="E54" s="257">
        <v>60</v>
      </c>
      <c r="F54" s="257">
        <v>60</v>
      </c>
      <c r="G54" s="257"/>
      <c r="H54" s="257">
        <f>2.8/100*60</f>
        <v>1.6799999999999997</v>
      </c>
      <c r="I54" s="257">
        <f>22.5/100*60</f>
        <v>13.5</v>
      </c>
      <c r="J54" s="257">
        <f>4.7/100*60</f>
        <v>2.82</v>
      </c>
      <c r="K54" s="218">
        <f>55/100*60</f>
        <v>33</v>
      </c>
      <c r="L54" s="262"/>
      <c r="M54" s="257">
        <f>1/100*60</f>
        <v>0.6</v>
      </c>
      <c r="N54" s="257"/>
    </row>
    <row r="55" spans="1:14" ht="15.75" thickBot="1">
      <c r="A55" s="294"/>
      <c r="B55" s="278" t="s">
        <v>207</v>
      </c>
      <c r="C55" s="279"/>
      <c r="D55" s="279"/>
      <c r="E55" s="261"/>
      <c r="F55" s="262"/>
      <c r="G55" s="266">
        <v>30</v>
      </c>
      <c r="H55" s="257">
        <f>7/100*30</f>
        <v>2.1</v>
      </c>
      <c r="I55" s="257">
        <f>1/100*30</f>
        <v>0.3</v>
      </c>
      <c r="J55" s="257">
        <f>47/100*30</f>
        <v>14.1</v>
      </c>
      <c r="K55" s="275">
        <f>230/100*30</f>
        <v>69</v>
      </c>
      <c r="L55" s="259"/>
      <c r="M55" s="257">
        <v>0</v>
      </c>
      <c r="N55" s="85"/>
    </row>
    <row r="56" spans="1:14" ht="15.75" thickBot="1">
      <c r="A56" s="294"/>
      <c r="B56" s="278" t="s">
        <v>44</v>
      </c>
      <c r="C56" s="279"/>
      <c r="D56" s="279"/>
      <c r="E56" s="220"/>
      <c r="F56" s="21"/>
      <c r="G56" s="137">
        <v>180</v>
      </c>
      <c r="H56" s="3"/>
      <c r="I56" s="3"/>
      <c r="J56" s="3"/>
      <c r="K56" s="307"/>
      <c r="L56" s="308"/>
      <c r="M56" s="3"/>
      <c r="N56" s="66">
        <v>263</v>
      </c>
    </row>
    <row r="57" spans="1:14" ht="15.75" thickBot="1">
      <c r="A57" s="294"/>
      <c r="B57" s="277" t="s">
        <v>210</v>
      </c>
      <c r="C57" s="277"/>
      <c r="D57" s="277"/>
      <c r="E57" s="257">
        <v>0.6</v>
      </c>
      <c r="F57" s="257">
        <v>0.6</v>
      </c>
      <c r="G57" s="257"/>
      <c r="H57" s="4">
        <f>20/100*0.6</f>
        <v>0.12</v>
      </c>
      <c r="I57" s="4">
        <v>0</v>
      </c>
      <c r="J57" s="4">
        <f>6.9/100*0.6</f>
        <v>4.1399999999999999E-2</v>
      </c>
      <c r="K57" s="275">
        <f>109/100*0.6</f>
        <v>0.65400000000000003</v>
      </c>
      <c r="L57" s="276"/>
      <c r="M57" s="4">
        <f>10/100*0.6</f>
        <v>0.06</v>
      </c>
      <c r="N57" s="257"/>
    </row>
    <row r="58" spans="1:14" ht="15.75" thickBot="1">
      <c r="A58" s="295"/>
      <c r="B58" s="280" t="s">
        <v>24</v>
      </c>
      <c r="C58" s="281"/>
      <c r="D58" s="281"/>
      <c r="E58" s="257">
        <v>8</v>
      </c>
      <c r="F58" s="257">
        <v>8</v>
      </c>
      <c r="G58" s="266"/>
      <c r="H58" s="3">
        <v>0</v>
      </c>
      <c r="I58" s="3">
        <v>0</v>
      </c>
      <c r="J58" s="3">
        <v>8</v>
      </c>
      <c r="K58" s="275">
        <v>32</v>
      </c>
      <c r="L58" s="259"/>
      <c r="M58" s="3">
        <v>0</v>
      </c>
      <c r="N58" s="5"/>
    </row>
    <row r="59" spans="1:14">
      <c r="A59" s="59"/>
      <c r="H59" s="37">
        <f t="shared" ref="H59:M59" si="0">SUM(H7:H58)</f>
        <v>64.797550000000001</v>
      </c>
      <c r="I59" s="37">
        <f t="shared" si="0"/>
        <v>74.438999999999993</v>
      </c>
      <c r="J59" s="37">
        <f t="shared" si="0"/>
        <v>226.08769999999996</v>
      </c>
      <c r="K59" s="37">
        <f t="shared" si="0"/>
        <v>1791.1855499999997</v>
      </c>
      <c r="L59" s="37">
        <f t="shared" si="0"/>
        <v>0</v>
      </c>
      <c r="M59" s="37">
        <f t="shared" si="0"/>
        <v>17.336400000000001</v>
      </c>
    </row>
    <row r="60" spans="1:14">
      <c r="A60" s="60"/>
    </row>
    <row r="61" spans="1:14">
      <c r="A61" s="60"/>
    </row>
    <row r="62" spans="1:14">
      <c r="A62" s="60"/>
    </row>
  </sheetData>
  <mergeCells count="68">
    <mergeCell ref="B13:D13"/>
    <mergeCell ref="K43:L43"/>
    <mergeCell ref="B44:D44"/>
    <mergeCell ref="B45:D45"/>
    <mergeCell ref="B49:D49"/>
    <mergeCell ref="B50:D50"/>
    <mergeCell ref="B55:D55"/>
    <mergeCell ref="B56:D56"/>
    <mergeCell ref="B32:D32"/>
    <mergeCell ref="B33:D33"/>
    <mergeCell ref="B34:D34"/>
    <mergeCell ref="B41:D41"/>
    <mergeCell ref="B42:D42"/>
    <mergeCell ref="B46:D46"/>
    <mergeCell ref="B48:D48"/>
    <mergeCell ref="B52:D52"/>
    <mergeCell ref="B35:F35"/>
    <mergeCell ref="B36:D36"/>
    <mergeCell ref="B39:D39"/>
    <mergeCell ref="B43:D43"/>
    <mergeCell ref="B17:D17"/>
    <mergeCell ref="M3:M4"/>
    <mergeCell ref="B15:D15"/>
    <mergeCell ref="B16:D16"/>
    <mergeCell ref="K12:L12"/>
    <mergeCell ref="B37:D37"/>
    <mergeCell ref="B38:D38"/>
    <mergeCell ref="B7:F7"/>
    <mergeCell ref="N3:N4"/>
    <mergeCell ref="A6:A17"/>
    <mergeCell ref="B6:F6"/>
    <mergeCell ref="B8:D8"/>
    <mergeCell ref="B9:D9"/>
    <mergeCell ref="B10:D10"/>
    <mergeCell ref="B11:D11"/>
    <mergeCell ref="B12:D12"/>
    <mergeCell ref="A3:A4"/>
    <mergeCell ref="B3:D4"/>
    <mergeCell ref="E3:F3"/>
    <mergeCell ref="G3:G4"/>
    <mergeCell ref="B14:D14"/>
    <mergeCell ref="H3:J3"/>
    <mergeCell ref="K3:L4"/>
    <mergeCell ref="A18:A37"/>
    <mergeCell ref="B18:F18"/>
    <mergeCell ref="K18:L18"/>
    <mergeCell ref="B19:D19"/>
    <mergeCell ref="B21:D21"/>
    <mergeCell ref="B22:D22"/>
    <mergeCell ref="B23:D23"/>
    <mergeCell ref="B24:D24"/>
    <mergeCell ref="B25:D25"/>
    <mergeCell ref="B26:D26"/>
    <mergeCell ref="B27:D27"/>
    <mergeCell ref="B29:D29"/>
    <mergeCell ref="B30:D30"/>
    <mergeCell ref="B20:D20"/>
    <mergeCell ref="B28:F28"/>
    <mergeCell ref="K48:L48"/>
    <mergeCell ref="A47:A50"/>
    <mergeCell ref="B58:D58"/>
    <mergeCell ref="A51:A58"/>
    <mergeCell ref="K56:L56"/>
    <mergeCell ref="B51:D51"/>
    <mergeCell ref="K51:L51"/>
    <mergeCell ref="B57:D57"/>
    <mergeCell ref="B53:D53"/>
    <mergeCell ref="B54:D54"/>
  </mergeCells>
  <printOptions horizontalCentered="1" verticalCentered="1"/>
  <pageMargins left="0.11811023622047245" right="0.11811023622047245" top="0.15748031496062992" bottom="0.15748031496062992" header="0.11811023622047245" footer="0.31496062992125984"/>
  <pageSetup paperSize="9" scale="72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65"/>
  <sheetViews>
    <sheetView workbookViewId="0">
      <selection activeCell="P11" sqref="P11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2" max="13" width="9.28515625" bestFit="1" customWidth="1"/>
  </cols>
  <sheetData>
    <row r="1" spans="1:14" ht="21">
      <c r="F1" s="50" t="s">
        <v>121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104</v>
      </c>
      <c r="B5" s="12"/>
      <c r="C5" s="13"/>
      <c r="D5" s="13"/>
      <c r="E5" s="13"/>
      <c r="F5" s="13"/>
      <c r="G5" s="195"/>
      <c r="H5" s="74">
        <f>H65</f>
        <v>58.866549999999989</v>
      </c>
      <c r="I5" s="74">
        <f t="shared" ref="I5:M5" si="0">I65</f>
        <v>55.113</v>
      </c>
      <c r="J5" s="74">
        <f t="shared" si="0"/>
        <v>218.31610000000006</v>
      </c>
      <c r="K5" s="196">
        <f t="shared" si="0"/>
        <v>1561.3795499999997</v>
      </c>
      <c r="L5" s="197"/>
      <c r="M5" s="74">
        <f t="shared" si="0"/>
        <v>52.076900000000009</v>
      </c>
      <c r="N5" s="195"/>
    </row>
    <row r="6" spans="1:14" ht="15.75" thickBot="1">
      <c r="A6" s="296" t="s">
        <v>4</v>
      </c>
      <c r="B6" s="278" t="s">
        <v>171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65</v>
      </c>
      <c r="C7" s="281"/>
      <c r="D7" s="281"/>
      <c r="E7" s="257">
        <v>15</v>
      </c>
      <c r="F7" s="257">
        <v>15</v>
      </c>
      <c r="G7" s="257"/>
      <c r="H7" s="257">
        <f>11.5/100*15</f>
        <v>1.7250000000000001</v>
      </c>
      <c r="I7" s="257">
        <f>3.3/100*15</f>
        <v>0.495</v>
      </c>
      <c r="J7" s="257">
        <f>65.5/100*15</f>
        <v>9.8250000000000011</v>
      </c>
      <c r="K7" s="89">
        <f>348/100*15</f>
        <v>52.2</v>
      </c>
      <c r="L7" s="8"/>
      <c r="M7" s="257">
        <v>0</v>
      </c>
      <c r="N7" s="257"/>
    </row>
    <row r="8" spans="1:14" ht="15.75" thickBot="1">
      <c r="A8" s="297"/>
      <c r="B8" s="280" t="s">
        <v>64</v>
      </c>
      <c r="C8" s="281"/>
      <c r="D8" s="281"/>
      <c r="E8" s="257">
        <v>15</v>
      </c>
      <c r="F8" s="257">
        <v>15</v>
      </c>
      <c r="G8" s="257"/>
      <c r="H8" s="3">
        <f>7/100*15</f>
        <v>1.05</v>
      </c>
      <c r="I8" s="3">
        <f>1/100*15</f>
        <v>0.15</v>
      </c>
      <c r="J8" s="275">
        <f>74/100*15</f>
        <v>11.1</v>
      </c>
      <c r="K8" s="275">
        <f>330/100*15</f>
        <v>49.5</v>
      </c>
      <c r="L8" s="276"/>
      <c r="M8" s="3">
        <v>0</v>
      </c>
      <c r="N8" s="257"/>
    </row>
    <row r="9" spans="1:14" ht="15.75" thickBot="1">
      <c r="A9" s="297"/>
      <c r="B9" s="280" t="s">
        <v>46</v>
      </c>
      <c r="C9" s="281"/>
      <c r="D9" s="281"/>
      <c r="E9" s="257">
        <v>150</v>
      </c>
      <c r="F9" s="257">
        <v>150</v>
      </c>
      <c r="G9" s="257"/>
      <c r="H9" s="257">
        <f>2.8/100*150</f>
        <v>4.1999999999999993</v>
      </c>
      <c r="I9" s="257">
        <f>2.5/100*150</f>
        <v>3.75</v>
      </c>
      <c r="J9" s="257">
        <f>4.7/100*150</f>
        <v>7.05</v>
      </c>
      <c r="K9" s="89">
        <f>55/100*150</f>
        <v>82.5</v>
      </c>
      <c r="L9" s="8"/>
      <c r="M9" s="257">
        <f>1/100*150</f>
        <v>1.5</v>
      </c>
      <c r="N9" s="257"/>
    </row>
    <row r="10" spans="1:14" ht="15.75" thickBot="1">
      <c r="A10" s="297"/>
      <c r="B10" s="280" t="s">
        <v>47</v>
      </c>
      <c r="C10" s="281"/>
      <c r="D10" s="281"/>
      <c r="E10" s="257">
        <v>5</v>
      </c>
      <c r="F10" s="257">
        <v>5</v>
      </c>
      <c r="G10" s="257"/>
      <c r="H10" s="257">
        <v>0</v>
      </c>
      <c r="I10" s="257">
        <v>0</v>
      </c>
      <c r="J10" s="257">
        <f>100/100*5</f>
        <v>5</v>
      </c>
      <c r="K10" s="89">
        <f>400/100*5</f>
        <v>20</v>
      </c>
      <c r="L10" s="8"/>
      <c r="M10" s="257">
        <v>0</v>
      </c>
      <c r="N10" s="257"/>
    </row>
    <row r="11" spans="1:14" ht="15.75" thickBot="1">
      <c r="A11" s="297"/>
      <c r="B11" s="280" t="s">
        <v>48</v>
      </c>
      <c r="C11" s="281"/>
      <c r="D11" s="281"/>
      <c r="E11" s="257">
        <v>5</v>
      </c>
      <c r="F11" s="257">
        <v>5</v>
      </c>
      <c r="G11" s="257"/>
      <c r="H11" s="257">
        <f>0.4/100*5</f>
        <v>0.02</v>
      </c>
      <c r="I11" s="257">
        <f>78.5/100*5</f>
        <v>3.9250000000000003</v>
      </c>
      <c r="J11" s="257">
        <f>0.5/100*5</f>
        <v>2.5000000000000001E-2</v>
      </c>
      <c r="K11" s="218">
        <f>734/100*5</f>
        <v>36.700000000000003</v>
      </c>
      <c r="L11" s="262"/>
      <c r="M11" s="257">
        <f>0.6/100*5</f>
        <v>0.03</v>
      </c>
      <c r="N11" s="257"/>
    </row>
    <row r="12" spans="1:14" ht="15.75" thickBot="1">
      <c r="A12" s="297"/>
      <c r="B12" s="278" t="s">
        <v>207</v>
      </c>
      <c r="C12" s="279"/>
      <c r="D12" s="279"/>
      <c r="E12" s="261"/>
      <c r="F12" s="262"/>
      <c r="G12" s="266">
        <v>30</v>
      </c>
      <c r="H12" s="257">
        <f>7/100*30</f>
        <v>2.1</v>
      </c>
      <c r="I12" s="257">
        <f>1/100*30</f>
        <v>0.3</v>
      </c>
      <c r="J12" s="257">
        <f>47/100*30</f>
        <v>14.1</v>
      </c>
      <c r="K12" s="275">
        <f>230/100*30</f>
        <v>69</v>
      </c>
      <c r="L12" s="259"/>
      <c r="M12" s="257">
        <v>0</v>
      </c>
      <c r="N12" s="85"/>
    </row>
    <row r="13" spans="1:14" ht="15.75" thickBot="1">
      <c r="A13" s="297"/>
      <c r="B13" s="278" t="s">
        <v>133</v>
      </c>
      <c r="C13" s="279"/>
      <c r="D13" s="279"/>
      <c r="E13" s="261"/>
      <c r="F13" s="262"/>
      <c r="G13" s="266">
        <v>8</v>
      </c>
      <c r="H13" s="4">
        <f>0.3/100*8</f>
        <v>2.4E-2</v>
      </c>
      <c r="I13" s="4">
        <v>0</v>
      </c>
      <c r="J13" s="4">
        <f>60.2/100*8</f>
        <v>4.8159999999999998</v>
      </c>
      <c r="K13" s="275">
        <f>248/100*8</f>
        <v>19.84</v>
      </c>
      <c r="L13" s="259"/>
      <c r="M13" s="4">
        <v>0</v>
      </c>
      <c r="N13" s="85"/>
    </row>
    <row r="14" spans="1:14" ht="15.75" thickBot="1">
      <c r="A14" s="297"/>
      <c r="B14" s="278" t="s">
        <v>177</v>
      </c>
      <c r="C14" s="279"/>
      <c r="D14" s="279"/>
      <c r="E14" s="261"/>
      <c r="F14" s="262"/>
      <c r="G14" s="266">
        <v>180</v>
      </c>
      <c r="H14" s="257"/>
      <c r="I14" s="257"/>
      <c r="J14" s="257"/>
      <c r="K14" s="7"/>
      <c r="L14" s="8"/>
      <c r="M14" s="26"/>
      <c r="N14" s="257"/>
    </row>
    <row r="15" spans="1:14" ht="15.75" thickBot="1">
      <c r="A15" s="297"/>
      <c r="B15" s="277" t="s">
        <v>62</v>
      </c>
      <c r="C15" s="277"/>
      <c r="D15" s="277"/>
      <c r="E15" s="257">
        <v>0.6</v>
      </c>
      <c r="F15" s="257">
        <v>0.6</v>
      </c>
      <c r="G15" s="257"/>
      <c r="H15" s="22">
        <f>20/100*0.6</f>
        <v>0.12</v>
      </c>
      <c r="I15" s="22">
        <v>0</v>
      </c>
      <c r="J15" s="22">
        <f>6.9/100*0.6</f>
        <v>4.1399999999999999E-2</v>
      </c>
      <c r="K15" s="275">
        <f>109/100*0.6</f>
        <v>0.65400000000000003</v>
      </c>
      <c r="L15" s="276"/>
      <c r="M15" s="22">
        <f>10/100*0.6</f>
        <v>0.06</v>
      </c>
      <c r="N15" s="257"/>
    </row>
    <row r="16" spans="1:14" ht="15.75" thickBot="1">
      <c r="A16" s="297"/>
      <c r="B16" s="280" t="s">
        <v>66</v>
      </c>
      <c r="C16" s="281"/>
      <c r="D16" s="281"/>
      <c r="E16" s="257">
        <v>1</v>
      </c>
      <c r="F16" s="257">
        <v>1</v>
      </c>
      <c r="G16" s="257"/>
      <c r="H16" s="3">
        <f>4/100*1</f>
        <v>0.04</v>
      </c>
      <c r="I16" s="3">
        <v>0</v>
      </c>
      <c r="J16" s="3">
        <f>60/100*1</f>
        <v>0.6</v>
      </c>
      <c r="K16" s="268">
        <f>253/100*1</f>
        <v>2.5299999999999998</v>
      </c>
      <c r="L16" s="271"/>
      <c r="M16" s="3">
        <f>15/100*1</f>
        <v>0.15</v>
      </c>
      <c r="N16" s="5"/>
    </row>
    <row r="17" spans="1:17" ht="15.75" thickBot="1">
      <c r="A17" s="306"/>
      <c r="B17" s="280" t="s">
        <v>47</v>
      </c>
      <c r="C17" s="281"/>
      <c r="D17" s="282"/>
      <c r="E17" s="257">
        <v>8</v>
      </c>
      <c r="F17" s="257">
        <v>8</v>
      </c>
      <c r="G17" s="257"/>
      <c r="H17" s="3">
        <v>0</v>
      </c>
      <c r="I17" s="3">
        <v>0</v>
      </c>
      <c r="J17" s="3">
        <f>100/100*8</f>
        <v>8</v>
      </c>
      <c r="K17" s="275">
        <f>400/100*8</f>
        <v>32</v>
      </c>
      <c r="L17" s="259"/>
      <c r="M17" s="3">
        <v>0</v>
      </c>
      <c r="N17" s="5"/>
    </row>
    <row r="18" spans="1:17" ht="15.75" thickBot="1">
      <c r="A18" s="296" t="s">
        <v>5</v>
      </c>
      <c r="B18" s="278" t="s">
        <v>107</v>
      </c>
      <c r="C18" s="279"/>
      <c r="D18" s="298"/>
      <c r="E18" s="15"/>
      <c r="F18" s="15"/>
      <c r="G18" s="137">
        <v>250</v>
      </c>
      <c r="H18" s="3"/>
      <c r="I18" s="3"/>
      <c r="J18" s="3"/>
      <c r="K18" s="270"/>
      <c r="L18" s="271"/>
      <c r="M18" s="3"/>
      <c r="N18" s="5"/>
    </row>
    <row r="19" spans="1:17" ht="15.75" thickBot="1">
      <c r="A19" s="297"/>
      <c r="B19" s="277" t="s">
        <v>69</v>
      </c>
      <c r="C19" s="277"/>
      <c r="D19" s="277"/>
      <c r="E19" s="15">
        <v>20</v>
      </c>
      <c r="F19" s="15">
        <v>20</v>
      </c>
      <c r="G19" s="142"/>
      <c r="H19" s="3">
        <f>18.9/100*20</f>
        <v>3.7799999999999994</v>
      </c>
      <c r="I19" s="3">
        <v>2.48</v>
      </c>
      <c r="J19" s="3">
        <v>0</v>
      </c>
      <c r="K19" s="275">
        <v>37.4</v>
      </c>
      <c r="L19" s="276"/>
      <c r="M19" s="3">
        <v>0</v>
      </c>
      <c r="N19" s="5"/>
    </row>
    <row r="20" spans="1:17" ht="15.75" thickBot="1">
      <c r="A20" s="297"/>
      <c r="B20" s="277" t="s">
        <v>70</v>
      </c>
      <c r="C20" s="277"/>
      <c r="D20" s="277"/>
      <c r="E20" s="15">
        <v>60</v>
      </c>
      <c r="F20" s="15">
        <v>50</v>
      </c>
      <c r="G20" s="142"/>
      <c r="H20" s="3">
        <f>0.8/100*560</f>
        <v>4.4800000000000004</v>
      </c>
      <c r="I20" s="3">
        <v>0</v>
      </c>
      <c r="J20" s="3">
        <f>8.3/100*50</f>
        <v>4.1500000000000004</v>
      </c>
      <c r="K20" s="275">
        <f>37/100*50</f>
        <v>18.5</v>
      </c>
      <c r="L20" s="276"/>
      <c r="M20" s="3">
        <f>8/100*50</f>
        <v>4</v>
      </c>
      <c r="N20" s="5"/>
    </row>
    <row r="21" spans="1:17" ht="15.75" thickBot="1">
      <c r="A21" s="297"/>
      <c r="B21" s="277" t="s">
        <v>52</v>
      </c>
      <c r="C21" s="277"/>
      <c r="D21" s="277"/>
      <c r="E21" s="15">
        <v>100</v>
      </c>
      <c r="F21" s="15">
        <v>70</v>
      </c>
      <c r="G21" s="142"/>
      <c r="H21" s="3">
        <f>1.2/100*70</f>
        <v>0.84</v>
      </c>
      <c r="I21" s="3">
        <v>0</v>
      </c>
      <c r="J21" s="3">
        <f>14/100*70</f>
        <v>9.8000000000000007</v>
      </c>
      <c r="K21" s="268">
        <f>62/100*70</f>
        <v>43.4</v>
      </c>
      <c r="L21" s="269"/>
      <c r="M21" s="3">
        <f>7.5/100*70</f>
        <v>5.25</v>
      </c>
      <c r="N21" s="5"/>
    </row>
    <row r="22" spans="1:17" ht="15.75" thickBot="1">
      <c r="A22" s="297"/>
      <c r="B22" s="277" t="s">
        <v>54</v>
      </c>
      <c r="C22" s="277"/>
      <c r="D22" s="277"/>
      <c r="E22" s="15">
        <v>7</v>
      </c>
      <c r="F22" s="15">
        <v>5</v>
      </c>
      <c r="G22" s="142"/>
      <c r="H22" s="3">
        <f>0.2/100*5</f>
        <v>0.01</v>
      </c>
      <c r="I22" s="3">
        <v>0</v>
      </c>
      <c r="J22" s="3">
        <f>10/100*5</f>
        <v>0.5</v>
      </c>
      <c r="K22" s="268">
        <f>42/100*5</f>
        <v>2.1</v>
      </c>
      <c r="L22" s="269"/>
      <c r="M22" s="3">
        <f>8.5/100*5</f>
        <v>0.42500000000000004</v>
      </c>
      <c r="N22" s="5"/>
    </row>
    <row r="23" spans="1:17" ht="15.75" thickBot="1">
      <c r="A23" s="297"/>
      <c r="B23" s="280" t="s">
        <v>55</v>
      </c>
      <c r="C23" s="281"/>
      <c r="D23" s="281"/>
      <c r="E23" s="15">
        <v>7</v>
      </c>
      <c r="F23" s="15">
        <v>5</v>
      </c>
      <c r="G23" s="142"/>
      <c r="H23" s="3">
        <f>1/100*5</f>
        <v>0.05</v>
      </c>
      <c r="I23" s="3">
        <v>0</v>
      </c>
      <c r="J23" s="3">
        <f>6.1/100*5</f>
        <v>0.30499999999999999</v>
      </c>
      <c r="K23" s="268">
        <f>29/100*5</f>
        <v>1.45</v>
      </c>
      <c r="L23" s="269"/>
      <c r="M23" s="3">
        <f>4/100*5</f>
        <v>0.2</v>
      </c>
      <c r="N23" s="5"/>
    </row>
    <row r="24" spans="1:17" ht="15.75" thickBot="1">
      <c r="A24" s="297"/>
      <c r="B24" s="280" t="s">
        <v>48</v>
      </c>
      <c r="C24" s="283"/>
      <c r="D24" s="284"/>
      <c r="E24" s="15">
        <v>2</v>
      </c>
      <c r="F24" s="15">
        <v>2</v>
      </c>
      <c r="G24" s="142"/>
      <c r="H24" s="3">
        <f>0.4/100*2</f>
        <v>8.0000000000000002E-3</v>
      </c>
      <c r="I24" s="3">
        <f>78.5/100*2</f>
        <v>1.57</v>
      </c>
      <c r="J24" s="3">
        <f>0.5/100*2</f>
        <v>0.01</v>
      </c>
      <c r="K24" s="275">
        <f>734/100*2</f>
        <v>14.68</v>
      </c>
      <c r="L24" s="276"/>
      <c r="M24" s="3">
        <v>0</v>
      </c>
      <c r="N24" s="5"/>
    </row>
    <row r="25" spans="1:17" ht="15.75" thickBot="1">
      <c r="A25" s="297"/>
      <c r="B25" s="277" t="s">
        <v>60</v>
      </c>
      <c r="C25" s="277"/>
      <c r="D25" s="277"/>
      <c r="E25" s="15">
        <v>2</v>
      </c>
      <c r="F25" s="15">
        <v>2</v>
      </c>
      <c r="G25" s="142"/>
      <c r="H25" s="1">
        <v>0</v>
      </c>
      <c r="I25" s="1">
        <f>99.9/100*2</f>
        <v>1.9980000000000002</v>
      </c>
      <c r="J25" s="1">
        <v>0</v>
      </c>
      <c r="K25" s="275">
        <f>900/100*2</f>
        <v>18</v>
      </c>
      <c r="L25" s="276"/>
      <c r="M25" s="1">
        <v>0</v>
      </c>
      <c r="N25" s="5"/>
      <c r="Q25" s="25"/>
    </row>
    <row r="26" spans="1:17" ht="15.75" thickBot="1">
      <c r="A26" s="297"/>
      <c r="B26" s="277" t="s">
        <v>63</v>
      </c>
      <c r="C26" s="277"/>
      <c r="D26" s="277"/>
      <c r="E26" s="15">
        <v>8</v>
      </c>
      <c r="F26" s="15">
        <v>8</v>
      </c>
      <c r="G26" s="142"/>
      <c r="H26" s="3">
        <f>2.6/100*8</f>
        <v>0.20800000000000002</v>
      </c>
      <c r="I26" s="3">
        <f>15/100*8</f>
        <v>1.2</v>
      </c>
      <c r="J26" s="3">
        <f>3.6/100*8</f>
        <v>0.28800000000000003</v>
      </c>
      <c r="K26" s="275">
        <f>160/100*8</f>
        <v>12.8</v>
      </c>
      <c r="L26" s="276"/>
      <c r="M26" s="3">
        <v>0</v>
      </c>
      <c r="N26" s="5"/>
    </row>
    <row r="27" spans="1:17" ht="15.75" thickBot="1">
      <c r="A27" s="297"/>
      <c r="B27" s="280" t="s">
        <v>78</v>
      </c>
      <c r="C27" s="283"/>
      <c r="D27" s="284"/>
      <c r="E27" s="15">
        <v>3</v>
      </c>
      <c r="F27" s="15">
        <v>3</v>
      </c>
      <c r="G27" s="142"/>
      <c r="H27" s="3">
        <f>2.2/100*3</f>
        <v>6.6000000000000003E-2</v>
      </c>
      <c r="I27" s="3">
        <v>0</v>
      </c>
      <c r="J27" s="3">
        <f>15.8/100*3</f>
        <v>0.47399999999999998</v>
      </c>
      <c r="K27" s="268">
        <f>63.2/100*3</f>
        <v>1.8959999999999999</v>
      </c>
      <c r="L27" s="269"/>
      <c r="M27" s="3">
        <f>26/100*3</f>
        <v>0.78</v>
      </c>
      <c r="N27" s="5"/>
      <c r="Q27" s="25"/>
    </row>
    <row r="28" spans="1:17" ht="15.75" thickBot="1">
      <c r="A28" s="297"/>
      <c r="B28" s="277" t="s">
        <v>72</v>
      </c>
      <c r="C28" s="277"/>
      <c r="D28" s="277"/>
      <c r="E28" s="15">
        <v>6</v>
      </c>
      <c r="F28" s="15">
        <v>5.6</v>
      </c>
      <c r="G28" s="142"/>
      <c r="H28" s="3">
        <f>2.6/100*5.6</f>
        <v>0.14560000000000001</v>
      </c>
      <c r="I28" s="3">
        <v>0</v>
      </c>
      <c r="J28" s="3">
        <f>6.5/100*5.6</f>
        <v>0.36399999999999999</v>
      </c>
      <c r="K28" s="275">
        <f>37/100*5.6</f>
        <v>2.0720000000000001</v>
      </c>
      <c r="L28" s="276"/>
      <c r="M28" s="3">
        <f>126/100*5.6</f>
        <v>7.0559999999999992</v>
      </c>
      <c r="N28" s="5"/>
    </row>
    <row r="29" spans="1:17" ht="15.75" thickBot="1">
      <c r="A29" s="297"/>
      <c r="B29" s="278" t="s">
        <v>251</v>
      </c>
      <c r="C29" s="279"/>
      <c r="D29" s="279"/>
      <c r="E29" s="220"/>
      <c r="F29" s="21"/>
      <c r="G29" s="137">
        <v>200</v>
      </c>
      <c r="H29" s="3"/>
      <c r="I29" s="3"/>
      <c r="J29" s="3"/>
      <c r="K29" s="270"/>
      <c r="L29" s="271"/>
      <c r="M29" s="3"/>
      <c r="N29" s="5"/>
    </row>
    <row r="30" spans="1:17" ht="15.75" thickBot="1">
      <c r="A30" s="297"/>
      <c r="B30" s="277" t="s">
        <v>52</v>
      </c>
      <c r="C30" s="277"/>
      <c r="D30" s="277"/>
      <c r="E30" s="15">
        <v>100</v>
      </c>
      <c r="F30" s="15">
        <v>70</v>
      </c>
      <c r="G30" s="137"/>
      <c r="H30" s="3">
        <f>1.2/100*70</f>
        <v>0.84</v>
      </c>
      <c r="I30" s="3">
        <v>0</v>
      </c>
      <c r="J30" s="3">
        <f>14/100*70</f>
        <v>9.8000000000000007</v>
      </c>
      <c r="K30" s="268">
        <f>62/100*70</f>
        <v>43.4</v>
      </c>
      <c r="L30" s="271"/>
      <c r="M30" s="3">
        <f>7.5/100*70</f>
        <v>5.25</v>
      </c>
      <c r="N30" s="5"/>
    </row>
    <row r="31" spans="1:17" ht="15.75" thickBot="1">
      <c r="A31" s="297"/>
      <c r="B31" s="280" t="s">
        <v>78</v>
      </c>
      <c r="C31" s="281"/>
      <c r="D31" s="281"/>
      <c r="E31" s="15">
        <v>4</v>
      </c>
      <c r="F31" s="15">
        <v>4</v>
      </c>
      <c r="G31" s="73"/>
      <c r="H31" s="3">
        <f>2.2/100*3</f>
        <v>6.6000000000000003E-2</v>
      </c>
      <c r="I31" s="3">
        <v>0</v>
      </c>
      <c r="J31" s="3">
        <f>15.8/100*3</f>
        <v>0.47399999999999998</v>
      </c>
      <c r="K31" s="268">
        <f>63.2/100*3</f>
        <v>1.8959999999999999</v>
      </c>
      <c r="L31" s="271"/>
      <c r="M31" s="3">
        <f>26/100*3</f>
        <v>0.78</v>
      </c>
      <c r="N31" s="5"/>
    </row>
    <row r="32" spans="1:17" ht="15.75" thickBot="1">
      <c r="A32" s="297"/>
      <c r="B32" s="277" t="s">
        <v>144</v>
      </c>
      <c r="C32" s="277"/>
      <c r="D32" s="277"/>
      <c r="E32" s="15">
        <v>3</v>
      </c>
      <c r="F32" s="15">
        <v>3</v>
      </c>
      <c r="G32" s="73"/>
      <c r="H32" s="3">
        <v>0</v>
      </c>
      <c r="I32" s="3">
        <f>99.9/100*3</f>
        <v>2.9970000000000003</v>
      </c>
      <c r="J32" s="3">
        <v>0</v>
      </c>
      <c r="K32" s="275">
        <f>900/100*3</f>
        <v>27</v>
      </c>
      <c r="L32" s="259"/>
      <c r="M32" s="3">
        <v>0</v>
      </c>
      <c r="N32" s="5"/>
    </row>
    <row r="33" spans="1:14" ht="15.75" thickBot="1">
      <c r="A33" s="297"/>
      <c r="B33" s="322" t="s">
        <v>48</v>
      </c>
      <c r="C33" s="283"/>
      <c r="D33" s="284"/>
      <c r="E33" s="15">
        <v>3</v>
      </c>
      <c r="F33" s="15">
        <v>3</v>
      </c>
      <c r="G33" s="66"/>
      <c r="H33" s="3">
        <f>0.4/100*7</f>
        <v>2.8000000000000001E-2</v>
      </c>
      <c r="I33" s="3">
        <f>78.5/100*7</f>
        <v>5.4950000000000001</v>
      </c>
      <c r="J33" s="3">
        <f>0.5/100*7</f>
        <v>3.5000000000000003E-2</v>
      </c>
      <c r="K33" s="268">
        <f>734/100*7</f>
        <v>51.379999999999995</v>
      </c>
      <c r="L33" s="271"/>
      <c r="M33" s="3">
        <f>0.6/100*7</f>
        <v>4.2000000000000003E-2</v>
      </c>
      <c r="N33" s="5"/>
    </row>
    <row r="34" spans="1:14" ht="15.75" thickBot="1">
      <c r="A34" s="297"/>
      <c r="B34" s="277" t="s">
        <v>53</v>
      </c>
      <c r="C34" s="277"/>
      <c r="D34" s="277"/>
      <c r="E34" s="15">
        <v>103.75</v>
      </c>
      <c r="F34" s="15">
        <v>95</v>
      </c>
      <c r="G34" s="73"/>
      <c r="H34" s="3">
        <f>1.2/100*F34</f>
        <v>1.1400000000000001</v>
      </c>
      <c r="I34" s="3">
        <v>0</v>
      </c>
      <c r="J34" s="3">
        <f>4.1/100*F34</f>
        <v>3.8949999999999996</v>
      </c>
      <c r="K34" s="268">
        <f>22/100*F34</f>
        <v>20.9</v>
      </c>
      <c r="L34" s="271"/>
      <c r="M34" s="3">
        <f>24/100*F34</f>
        <v>22.8</v>
      </c>
      <c r="N34" s="5"/>
    </row>
    <row r="35" spans="1:14" ht="15.75" thickBot="1">
      <c r="A35" s="297"/>
      <c r="B35" s="277" t="s">
        <v>54</v>
      </c>
      <c r="C35" s="277"/>
      <c r="D35" s="277"/>
      <c r="E35" s="15">
        <v>8.75</v>
      </c>
      <c r="F35" s="15">
        <v>7</v>
      </c>
      <c r="G35" s="73"/>
      <c r="H35" s="3">
        <f>0.2/100*7</f>
        <v>1.4E-2</v>
      </c>
      <c r="I35" s="3">
        <v>0</v>
      </c>
      <c r="J35" s="3">
        <f>10/100*7</f>
        <v>0.70000000000000007</v>
      </c>
      <c r="K35" s="268">
        <f>42/100*7</f>
        <v>2.94</v>
      </c>
      <c r="L35" s="271"/>
      <c r="M35" s="3">
        <f>8.4/100*7</f>
        <v>0.58800000000000008</v>
      </c>
      <c r="N35" s="5"/>
    </row>
    <row r="36" spans="1:14" ht="15.75" thickBot="1">
      <c r="A36" s="297"/>
      <c r="B36" s="277" t="s">
        <v>55</v>
      </c>
      <c r="C36" s="277"/>
      <c r="D36" s="277"/>
      <c r="E36" s="15">
        <v>12.5</v>
      </c>
      <c r="F36" s="15">
        <v>7</v>
      </c>
      <c r="G36" s="73"/>
      <c r="H36" s="3">
        <f>1/100*7</f>
        <v>7.0000000000000007E-2</v>
      </c>
      <c r="I36" s="3">
        <v>0</v>
      </c>
      <c r="J36" s="3">
        <f>6.1/100*7</f>
        <v>0.42699999999999999</v>
      </c>
      <c r="K36" s="268">
        <f>29/100*7</f>
        <v>2.0299999999999998</v>
      </c>
      <c r="L36" s="271"/>
      <c r="M36" s="3">
        <f>4/100*7</f>
        <v>0.28000000000000003</v>
      </c>
      <c r="N36" s="5"/>
    </row>
    <row r="37" spans="1:14" ht="15.75" thickBot="1">
      <c r="A37" s="297"/>
      <c r="B37" s="280" t="s">
        <v>252</v>
      </c>
      <c r="C37" s="283"/>
      <c r="D37" s="284"/>
      <c r="E37" s="15">
        <v>40</v>
      </c>
      <c r="F37" s="15">
        <v>40</v>
      </c>
      <c r="G37" s="66"/>
      <c r="H37" s="3">
        <f>18.9/100*40</f>
        <v>7.5599999999999987</v>
      </c>
      <c r="I37" s="3">
        <f>12.4/100*40</f>
        <v>4.96</v>
      </c>
      <c r="J37" s="3">
        <v>0</v>
      </c>
      <c r="K37" s="268">
        <f>187/100*40</f>
        <v>74.800000000000011</v>
      </c>
      <c r="L37" s="271"/>
      <c r="M37" s="3">
        <v>0</v>
      </c>
      <c r="N37" s="5"/>
    </row>
    <row r="38" spans="1:14" ht="15.75" thickBot="1">
      <c r="A38" s="297"/>
      <c r="B38" s="280" t="s">
        <v>72</v>
      </c>
      <c r="C38" s="281"/>
      <c r="D38" s="282"/>
      <c r="E38" s="15">
        <v>3</v>
      </c>
      <c r="F38" s="15">
        <v>3</v>
      </c>
      <c r="G38" s="73"/>
      <c r="H38" s="3">
        <f>0.8/100*3</f>
        <v>2.4E-2</v>
      </c>
      <c r="I38" s="3">
        <v>0</v>
      </c>
      <c r="J38" s="3">
        <f>3.3/100*3</f>
        <v>9.9000000000000005E-2</v>
      </c>
      <c r="K38" s="268">
        <f>17/100*3</f>
        <v>0.51</v>
      </c>
      <c r="L38" s="271"/>
      <c r="M38" s="3">
        <f>48/100*3</f>
        <v>1.44</v>
      </c>
      <c r="N38" s="5"/>
    </row>
    <row r="39" spans="1:14" ht="15.75" thickBot="1">
      <c r="A39" s="297"/>
      <c r="B39" s="277" t="s">
        <v>81</v>
      </c>
      <c r="C39" s="277"/>
      <c r="D39" s="277"/>
      <c r="E39" s="15">
        <v>8</v>
      </c>
      <c r="F39" s="15">
        <v>8</v>
      </c>
      <c r="G39" s="73"/>
      <c r="H39" s="3">
        <f>2.2/100*8</f>
        <v>0.17600000000000002</v>
      </c>
      <c r="I39" s="3">
        <v>0</v>
      </c>
      <c r="J39" s="3">
        <f>11.2/100*8</f>
        <v>0.89599999999999991</v>
      </c>
      <c r="K39" s="268">
        <f>58/100*8</f>
        <v>4.6399999999999997</v>
      </c>
      <c r="L39" s="271"/>
      <c r="M39" s="3">
        <v>0</v>
      </c>
      <c r="N39" s="5"/>
    </row>
    <row r="40" spans="1:14" ht="15.75" thickBot="1">
      <c r="A40" s="297"/>
      <c r="B40" s="280" t="s">
        <v>158</v>
      </c>
      <c r="C40" s="281"/>
      <c r="D40" s="282"/>
      <c r="E40" s="15">
        <v>7</v>
      </c>
      <c r="F40" s="15">
        <v>7</v>
      </c>
      <c r="G40" s="73"/>
      <c r="H40" s="3">
        <f>6.1/100*7</f>
        <v>0.42699999999999999</v>
      </c>
      <c r="I40" s="3">
        <v>0</v>
      </c>
      <c r="J40" s="3">
        <f>14.9/100*7</f>
        <v>1.0429999999999999</v>
      </c>
      <c r="K40" s="275">
        <f>84/100*7</f>
        <v>5.88</v>
      </c>
      <c r="L40" s="259"/>
      <c r="M40" s="3">
        <v>0</v>
      </c>
      <c r="N40" s="5"/>
    </row>
    <row r="41" spans="1:14" ht="15.75" thickBot="1">
      <c r="A41" s="297"/>
      <c r="B41" s="278" t="s">
        <v>129</v>
      </c>
      <c r="C41" s="279"/>
      <c r="D41" s="279"/>
      <c r="E41" s="220"/>
      <c r="F41" s="21"/>
      <c r="G41" s="66">
        <v>50</v>
      </c>
      <c r="H41" s="3">
        <f>7/100*50</f>
        <v>3.5000000000000004</v>
      </c>
      <c r="I41" s="3">
        <f>1/100*50</f>
        <v>0.5</v>
      </c>
      <c r="J41" s="3">
        <f>46/100*50</f>
        <v>23</v>
      </c>
      <c r="K41" s="287">
        <f>200/100*50</f>
        <v>100</v>
      </c>
      <c r="L41" s="288"/>
      <c r="M41" s="3">
        <v>0</v>
      </c>
      <c r="N41" s="5"/>
    </row>
    <row r="42" spans="1:14" ht="15.75" thickBot="1">
      <c r="A42" s="297"/>
      <c r="B42" s="278" t="s">
        <v>40</v>
      </c>
      <c r="C42" s="279"/>
      <c r="D42" s="279"/>
      <c r="E42" s="220"/>
      <c r="F42" s="21"/>
      <c r="G42" s="66">
        <v>180</v>
      </c>
      <c r="H42" s="3"/>
      <c r="I42" s="3"/>
      <c r="J42" s="3"/>
      <c r="K42" s="270"/>
      <c r="L42" s="271"/>
      <c r="M42" s="3"/>
      <c r="N42" s="5"/>
    </row>
    <row r="43" spans="1:14" ht="15.75" thickBot="1">
      <c r="A43" s="297"/>
      <c r="B43" s="280" t="s">
        <v>57</v>
      </c>
      <c r="C43" s="281"/>
      <c r="D43" s="282"/>
      <c r="E43" s="257">
        <v>11</v>
      </c>
      <c r="F43" s="257">
        <v>16.5</v>
      </c>
      <c r="G43" s="3"/>
      <c r="H43" s="4">
        <f>0.63/100*16.5</f>
        <v>0.10395</v>
      </c>
      <c r="I43" s="4">
        <v>0</v>
      </c>
      <c r="J43" s="4">
        <f>10.06/100*16.5</f>
        <v>1.6599000000000002</v>
      </c>
      <c r="K43" s="275">
        <f>40.87/100*16.5</f>
        <v>6.743549999999999</v>
      </c>
      <c r="L43" s="276"/>
      <c r="M43" s="4">
        <f>0.46/100*16.5</f>
        <v>7.5899999999999995E-2</v>
      </c>
      <c r="N43" s="5"/>
    </row>
    <row r="44" spans="1:14" ht="15.75" thickBot="1">
      <c r="A44" s="297"/>
      <c r="B44" s="280" t="s">
        <v>47</v>
      </c>
      <c r="C44" s="281"/>
      <c r="D44" s="282"/>
      <c r="E44" s="257">
        <v>10</v>
      </c>
      <c r="F44" s="257">
        <v>10</v>
      </c>
      <c r="G44" s="5"/>
      <c r="H44" s="4">
        <v>0</v>
      </c>
      <c r="I44" s="4">
        <v>0</v>
      </c>
      <c r="J44" s="4">
        <f>100/100*10</f>
        <v>10</v>
      </c>
      <c r="K44" s="275">
        <f>400/100*10</f>
        <v>40</v>
      </c>
      <c r="L44" s="276"/>
      <c r="M44" s="4">
        <v>0</v>
      </c>
      <c r="N44" s="5"/>
    </row>
    <row r="45" spans="1:14" ht="15.75" thickBot="1">
      <c r="A45" s="296" t="s">
        <v>6</v>
      </c>
      <c r="B45" s="12" t="s">
        <v>42</v>
      </c>
      <c r="C45" s="13"/>
      <c r="D45" s="13"/>
      <c r="E45" s="15">
        <v>40</v>
      </c>
      <c r="F45" s="15">
        <v>40</v>
      </c>
      <c r="G45" s="5">
        <v>40</v>
      </c>
      <c r="H45" s="3">
        <f>5/100*40</f>
        <v>2</v>
      </c>
      <c r="I45" s="3">
        <f>5/100*40</f>
        <v>2</v>
      </c>
      <c r="J45" s="3">
        <f>71/100*40</f>
        <v>28.4</v>
      </c>
      <c r="K45" s="17">
        <f>360/100*40</f>
        <v>144</v>
      </c>
      <c r="L45" s="18"/>
      <c r="M45" s="3">
        <v>0</v>
      </c>
      <c r="N45" s="5"/>
    </row>
    <row r="46" spans="1:14" ht="15.75" thickBot="1">
      <c r="A46" s="297"/>
      <c r="B46" s="12" t="s">
        <v>124</v>
      </c>
      <c r="C46" s="13"/>
      <c r="D46" s="13"/>
      <c r="E46" s="261"/>
      <c r="F46" s="262"/>
      <c r="G46" s="66">
        <v>180</v>
      </c>
      <c r="H46" s="4"/>
      <c r="I46" s="4"/>
      <c r="J46" s="4"/>
      <c r="K46" s="270"/>
      <c r="L46" s="271"/>
      <c r="M46" s="4"/>
      <c r="N46" s="68"/>
    </row>
    <row r="47" spans="1:14" ht="15.75" thickBot="1">
      <c r="A47" s="297"/>
      <c r="B47" s="314" t="s">
        <v>62</v>
      </c>
      <c r="C47" s="314"/>
      <c r="D47" s="314"/>
      <c r="E47" s="257">
        <v>0.6</v>
      </c>
      <c r="F47" s="257">
        <v>0.6</v>
      </c>
      <c r="G47" s="257"/>
      <c r="H47" s="4">
        <f>20/100*0.6</f>
        <v>0.12</v>
      </c>
      <c r="I47" s="4">
        <v>0</v>
      </c>
      <c r="J47" s="4">
        <f>6.9/100*0.6</f>
        <v>4.1399999999999999E-2</v>
      </c>
      <c r="K47" s="275">
        <f>109/100*0.6</f>
        <v>0.65400000000000003</v>
      </c>
      <c r="L47" s="276"/>
      <c r="M47" s="4">
        <f>10/100*0.6</f>
        <v>0.06</v>
      </c>
      <c r="N47" s="257"/>
    </row>
    <row r="48" spans="1:14" ht="15.75" thickBot="1">
      <c r="A48" s="297"/>
      <c r="B48" s="44"/>
      <c r="C48" s="219" t="s">
        <v>46</v>
      </c>
      <c r="D48" s="219"/>
      <c r="E48" s="257">
        <v>50</v>
      </c>
      <c r="F48" s="257">
        <v>50</v>
      </c>
      <c r="G48" s="68"/>
      <c r="H48" s="4">
        <f>2.8/100*50</f>
        <v>1.4</v>
      </c>
      <c r="I48" s="4">
        <f>2.5/100*50</f>
        <v>1.25</v>
      </c>
      <c r="J48" s="4">
        <f>4.7/100*50</f>
        <v>2.35</v>
      </c>
      <c r="K48" s="275">
        <f>55/100*50</f>
        <v>27.500000000000004</v>
      </c>
      <c r="L48" s="259"/>
      <c r="M48" s="4">
        <f>1/100*50</f>
        <v>0.5</v>
      </c>
      <c r="N48" s="68"/>
    </row>
    <row r="49" spans="1:14" ht="15.75" thickBot="1">
      <c r="A49" s="293" t="s">
        <v>7</v>
      </c>
      <c r="B49" s="278" t="s">
        <v>110</v>
      </c>
      <c r="C49" s="279"/>
      <c r="D49" s="279"/>
      <c r="E49" s="220"/>
      <c r="F49" s="21"/>
      <c r="G49" s="137">
        <v>125</v>
      </c>
      <c r="H49" s="3"/>
      <c r="I49" s="3"/>
      <c r="J49" s="3"/>
      <c r="K49" s="285"/>
      <c r="L49" s="286"/>
      <c r="M49" s="3"/>
      <c r="N49" s="5"/>
    </row>
    <row r="50" spans="1:14" ht="15.75" thickBot="1">
      <c r="A50" s="294"/>
      <c r="B50" s="277" t="s">
        <v>74</v>
      </c>
      <c r="C50" s="277"/>
      <c r="D50" s="277"/>
      <c r="E50" s="15">
        <v>100</v>
      </c>
      <c r="F50" s="15">
        <v>100</v>
      </c>
      <c r="G50" s="138"/>
      <c r="H50" s="3">
        <f>16/100*100</f>
        <v>16</v>
      </c>
      <c r="I50" s="3">
        <f>9/100*100</f>
        <v>9</v>
      </c>
      <c r="J50" s="3">
        <f>3/100*100</f>
        <v>3</v>
      </c>
      <c r="K50" s="275">
        <f>157/100*100</f>
        <v>157</v>
      </c>
      <c r="L50" s="259"/>
      <c r="M50" s="275">
        <f>0.5/100*100</f>
        <v>0.5</v>
      </c>
      <c r="N50" s="5"/>
    </row>
    <row r="51" spans="1:14" ht="15.75" thickBot="1">
      <c r="A51" s="294"/>
      <c r="B51" s="280" t="s">
        <v>48</v>
      </c>
      <c r="C51" s="281"/>
      <c r="D51" s="281"/>
      <c r="E51" s="15">
        <v>5</v>
      </c>
      <c r="F51" s="15">
        <v>5</v>
      </c>
      <c r="G51" s="3"/>
      <c r="H51" s="3">
        <f>0.4/100*5</f>
        <v>0.02</v>
      </c>
      <c r="I51" s="3">
        <f>78.5/100*5</f>
        <v>3.9250000000000003</v>
      </c>
      <c r="J51" s="3">
        <f>0.5/100*5</f>
        <v>2.5000000000000001E-2</v>
      </c>
      <c r="K51" s="275">
        <f>734/100*5</f>
        <v>36.700000000000003</v>
      </c>
      <c r="L51" s="276"/>
      <c r="M51" s="3">
        <v>0</v>
      </c>
      <c r="N51" s="5"/>
    </row>
    <row r="52" spans="1:14" ht="15.75" thickBot="1">
      <c r="A52" s="294"/>
      <c r="B52" s="277" t="s">
        <v>50</v>
      </c>
      <c r="C52" s="277"/>
      <c r="D52" s="277"/>
      <c r="E52" s="15">
        <v>8</v>
      </c>
      <c r="F52" s="15">
        <v>8</v>
      </c>
      <c r="G52" s="3"/>
      <c r="H52" s="3">
        <f>12.7/100*8</f>
        <v>1.016</v>
      </c>
      <c r="I52" s="3">
        <f>11.5/100*8</f>
        <v>0.92</v>
      </c>
      <c r="J52" s="3">
        <f>0.7/100*8</f>
        <v>5.5999999999999994E-2</v>
      </c>
      <c r="K52" s="268">
        <f>241/100*8</f>
        <v>19.28</v>
      </c>
      <c r="L52" s="271"/>
      <c r="M52" s="3">
        <v>0</v>
      </c>
      <c r="N52" s="5"/>
    </row>
    <row r="53" spans="1:14" ht="15.75" thickBot="1">
      <c r="A53" s="294"/>
      <c r="B53" s="280" t="s">
        <v>47</v>
      </c>
      <c r="C53" s="283"/>
      <c r="D53" s="284"/>
      <c r="E53" s="15">
        <v>10</v>
      </c>
      <c r="F53" s="15">
        <v>10</v>
      </c>
      <c r="G53" s="3"/>
      <c r="H53" s="3">
        <v>0</v>
      </c>
      <c r="I53" s="3">
        <v>0</v>
      </c>
      <c r="J53" s="3">
        <f>100/100*10</f>
        <v>10</v>
      </c>
      <c r="K53" s="275">
        <f>400/100*10</f>
        <v>40</v>
      </c>
      <c r="L53" s="259"/>
      <c r="M53" s="3">
        <v>0</v>
      </c>
      <c r="N53" s="5"/>
    </row>
    <row r="54" spans="1:14" ht="15.75" thickBot="1">
      <c r="A54" s="294"/>
      <c r="B54" s="280" t="s">
        <v>51</v>
      </c>
      <c r="C54" s="283"/>
      <c r="D54" s="284"/>
      <c r="E54" s="15">
        <v>20</v>
      </c>
      <c r="F54" s="15">
        <v>20</v>
      </c>
      <c r="G54" s="3"/>
      <c r="H54" s="3">
        <f>10.3/100*20</f>
        <v>2.06</v>
      </c>
      <c r="I54" s="3">
        <f>1.1/100*20</f>
        <v>0.22000000000000003</v>
      </c>
      <c r="J54" s="3">
        <f>70.6/100*20</f>
        <v>14.12</v>
      </c>
      <c r="K54" s="268">
        <f>334/100*20</f>
        <v>66.8</v>
      </c>
      <c r="L54" s="271"/>
      <c r="M54" s="3">
        <v>0</v>
      </c>
      <c r="N54" s="5"/>
    </row>
    <row r="55" spans="1:14" ht="15.75" thickBot="1">
      <c r="A55" s="294"/>
      <c r="B55" s="277" t="s">
        <v>60</v>
      </c>
      <c r="C55" s="277"/>
      <c r="D55" s="277"/>
      <c r="E55" s="15">
        <v>2</v>
      </c>
      <c r="F55" s="15">
        <v>2</v>
      </c>
      <c r="G55" s="3"/>
      <c r="H55" s="1">
        <v>0</v>
      </c>
      <c r="I55" s="1">
        <f>99.9/100*2</f>
        <v>1.9980000000000002</v>
      </c>
      <c r="J55" s="1">
        <v>0</v>
      </c>
      <c r="K55" s="275">
        <f>900/100*2</f>
        <v>18</v>
      </c>
      <c r="L55" s="276"/>
      <c r="M55" s="1">
        <v>0</v>
      </c>
      <c r="N55" s="5"/>
    </row>
    <row r="56" spans="1:14" ht="15.75" thickBot="1">
      <c r="A56" s="294"/>
      <c r="B56" s="256" t="s">
        <v>166</v>
      </c>
      <c r="C56" s="261"/>
      <c r="D56" s="261"/>
      <c r="E56" s="220"/>
      <c r="F56" s="21"/>
      <c r="G56" s="137">
        <v>70</v>
      </c>
      <c r="H56" s="1"/>
      <c r="I56" s="1"/>
      <c r="J56" s="1"/>
      <c r="K56" s="268"/>
      <c r="L56" s="271"/>
      <c r="M56" s="1"/>
      <c r="N56" s="5"/>
    </row>
    <row r="57" spans="1:14" ht="15.75" thickBot="1">
      <c r="A57" s="294"/>
      <c r="B57" s="280" t="s">
        <v>46</v>
      </c>
      <c r="C57" s="281"/>
      <c r="D57" s="281"/>
      <c r="E57" s="15">
        <v>25</v>
      </c>
      <c r="F57" s="15">
        <v>25</v>
      </c>
      <c r="G57" s="257"/>
      <c r="H57" s="15">
        <f>2.8/100*25</f>
        <v>0.7</v>
      </c>
      <c r="I57" s="15">
        <f>22.5/100*25</f>
        <v>5.625</v>
      </c>
      <c r="J57" s="15">
        <f>4.7/100*25</f>
        <v>1.175</v>
      </c>
      <c r="K57" s="89">
        <f>55/100*25</f>
        <v>13.750000000000002</v>
      </c>
      <c r="L57" s="8"/>
      <c r="M57" s="15">
        <f>1/100*25</f>
        <v>0.25</v>
      </c>
      <c r="N57" s="257"/>
    </row>
    <row r="58" spans="1:14" ht="15.75" thickBot="1">
      <c r="A58" s="294"/>
      <c r="B58" s="280" t="s">
        <v>51</v>
      </c>
      <c r="C58" s="283"/>
      <c r="D58" s="284"/>
      <c r="E58" s="15">
        <v>5</v>
      </c>
      <c r="F58" s="15">
        <v>5</v>
      </c>
      <c r="G58" s="3"/>
      <c r="H58" s="22">
        <f>10.3/100*5</f>
        <v>0.51500000000000001</v>
      </c>
      <c r="I58" s="22">
        <f>1.1/100*5</f>
        <v>5.5000000000000007E-2</v>
      </c>
      <c r="J58" s="22">
        <f>70.6/100*5</f>
        <v>3.53</v>
      </c>
      <c r="K58" s="268">
        <f>334/100*5</f>
        <v>16.7</v>
      </c>
      <c r="L58" s="271"/>
      <c r="M58" s="22">
        <v>0</v>
      </c>
      <c r="N58" s="5"/>
    </row>
    <row r="59" spans="1:14" ht="15.75" thickBot="1">
      <c r="A59" s="294"/>
      <c r="B59" s="274"/>
      <c r="C59" s="261" t="s">
        <v>47</v>
      </c>
      <c r="D59" s="261"/>
      <c r="E59" s="15">
        <v>5</v>
      </c>
      <c r="F59" s="15">
        <v>5</v>
      </c>
      <c r="G59" s="1"/>
      <c r="H59" s="22">
        <v>0</v>
      </c>
      <c r="I59" s="22">
        <v>0</v>
      </c>
      <c r="J59" s="22">
        <f>100/100*5</f>
        <v>5</v>
      </c>
      <c r="K59" s="275">
        <f>400/100*5</f>
        <v>20</v>
      </c>
      <c r="L59" s="276"/>
      <c r="M59" s="22">
        <v>0</v>
      </c>
      <c r="N59" s="5"/>
    </row>
    <row r="60" spans="1:14" ht="15.75" thickBot="1">
      <c r="A60" s="294"/>
      <c r="B60" s="278" t="s">
        <v>207</v>
      </c>
      <c r="C60" s="279"/>
      <c r="D60" s="279"/>
      <c r="E60" s="261"/>
      <c r="F60" s="262"/>
      <c r="G60" s="266">
        <v>30</v>
      </c>
      <c r="H60" s="257">
        <f>7/100*30</f>
        <v>2.1</v>
      </c>
      <c r="I60" s="257">
        <f>1/100*30</f>
        <v>0.3</v>
      </c>
      <c r="J60" s="257">
        <f>47/100*30</f>
        <v>14.1</v>
      </c>
      <c r="K60" s="275">
        <f>230/100*30</f>
        <v>69</v>
      </c>
      <c r="L60" s="259"/>
      <c r="M60" s="257">
        <v>0</v>
      </c>
      <c r="N60" s="85"/>
    </row>
    <row r="61" spans="1:14" ht="15.75" thickBot="1">
      <c r="A61" s="294"/>
      <c r="B61" s="278" t="s">
        <v>44</v>
      </c>
      <c r="C61" s="279"/>
      <c r="D61" s="279"/>
      <c r="E61" s="220"/>
      <c r="F61" s="21"/>
      <c r="G61" s="137">
        <v>180</v>
      </c>
      <c r="H61" s="3"/>
      <c r="I61" s="3"/>
      <c r="J61" s="3"/>
      <c r="K61" s="307"/>
      <c r="L61" s="308"/>
      <c r="M61" s="3"/>
      <c r="N61" s="66">
        <v>263</v>
      </c>
    </row>
    <row r="62" spans="1:14" ht="15.75" thickBot="1">
      <c r="A62" s="294"/>
      <c r="B62" s="277" t="s">
        <v>210</v>
      </c>
      <c r="C62" s="277"/>
      <c r="D62" s="277"/>
      <c r="E62" s="257">
        <v>0.6</v>
      </c>
      <c r="F62" s="257">
        <v>0.6</v>
      </c>
      <c r="G62" s="257"/>
      <c r="H62" s="4">
        <f>20/100*0.6</f>
        <v>0.12</v>
      </c>
      <c r="I62" s="4">
        <v>0</v>
      </c>
      <c r="J62" s="4">
        <f>6.9/100*0.6</f>
        <v>4.1399999999999999E-2</v>
      </c>
      <c r="K62" s="275">
        <f>109/100*0.6</f>
        <v>0.65400000000000003</v>
      </c>
      <c r="L62" s="276"/>
      <c r="M62" s="4">
        <f>10/100*0.6</f>
        <v>0.06</v>
      </c>
      <c r="N62" s="257"/>
    </row>
    <row r="63" spans="1:14" ht="15.75" thickBot="1">
      <c r="A63" s="294"/>
      <c r="B63" s="280" t="s">
        <v>24</v>
      </c>
      <c r="C63" s="281"/>
      <c r="D63" s="281"/>
      <c r="E63" s="257">
        <v>8</v>
      </c>
      <c r="F63" s="257">
        <v>8</v>
      </c>
      <c r="G63" s="266"/>
      <c r="H63" s="3">
        <v>0</v>
      </c>
      <c r="I63" s="3">
        <v>0</v>
      </c>
      <c r="J63" s="3">
        <v>8</v>
      </c>
      <c r="K63" s="275">
        <v>32</v>
      </c>
      <c r="L63" s="259"/>
      <c r="M63" s="3">
        <v>0</v>
      </c>
      <c r="N63" s="5"/>
    </row>
    <row r="64" spans="1:14" ht="15.75" thickBot="1">
      <c r="A64" s="295"/>
      <c r="B64" s="56"/>
      <c r="C64" s="57"/>
      <c r="D64" s="58"/>
      <c r="E64" s="15"/>
      <c r="F64" s="15"/>
      <c r="G64" s="3"/>
      <c r="H64" s="1"/>
      <c r="I64" s="1"/>
      <c r="J64" s="1"/>
      <c r="K64" s="311"/>
      <c r="L64" s="312"/>
      <c r="M64" s="1"/>
      <c r="N64" s="5"/>
    </row>
    <row r="65" spans="8:13">
      <c r="H65" s="37">
        <f t="shared" ref="H65:M65" si="1">SUM(H7:H64)</f>
        <v>58.866549999999989</v>
      </c>
      <c r="I65" s="37">
        <f t="shared" si="1"/>
        <v>55.113</v>
      </c>
      <c r="J65" s="37">
        <f t="shared" si="1"/>
        <v>218.31610000000006</v>
      </c>
      <c r="K65" s="37">
        <f t="shared" si="1"/>
        <v>1561.3795499999997</v>
      </c>
      <c r="L65" s="37">
        <f t="shared" si="1"/>
        <v>0</v>
      </c>
      <c r="M65" s="37">
        <f t="shared" si="1"/>
        <v>52.076900000000009</v>
      </c>
    </row>
  </sheetData>
  <mergeCells count="69">
    <mergeCell ref="B39:D39"/>
    <mergeCell ref="B40:D40"/>
    <mergeCell ref="K41:L41"/>
    <mergeCell ref="B47:D47"/>
    <mergeCell ref="K49:L49"/>
    <mergeCell ref="B34:D34"/>
    <mergeCell ref="B35:D35"/>
    <mergeCell ref="B36:D36"/>
    <mergeCell ref="B37:D37"/>
    <mergeCell ref="B38:D38"/>
    <mergeCell ref="B29:D29"/>
    <mergeCell ref="B30:D30"/>
    <mergeCell ref="B31:D31"/>
    <mergeCell ref="B32:D32"/>
    <mergeCell ref="B33:D33"/>
    <mergeCell ref="K61:L61"/>
    <mergeCell ref="B62:D62"/>
    <mergeCell ref="B60:D60"/>
    <mergeCell ref="B63:D63"/>
    <mergeCell ref="K64:L64"/>
    <mergeCell ref="B43:D43"/>
    <mergeCell ref="B25:D25"/>
    <mergeCell ref="B26:D26"/>
    <mergeCell ref="B27:D27"/>
    <mergeCell ref="B18:D18"/>
    <mergeCell ref="B13:D13"/>
    <mergeCell ref="B14:D14"/>
    <mergeCell ref="B15:D15"/>
    <mergeCell ref="B16:D16"/>
    <mergeCell ref="A49:A64"/>
    <mergeCell ref="B49:D49"/>
    <mergeCell ref="B61:D61"/>
    <mergeCell ref="B50:D50"/>
    <mergeCell ref="B51:D51"/>
    <mergeCell ref="B52:D52"/>
    <mergeCell ref="B53:D53"/>
    <mergeCell ref="B54:D54"/>
    <mergeCell ref="B55:D55"/>
    <mergeCell ref="B57:D57"/>
    <mergeCell ref="B58:D58"/>
    <mergeCell ref="H3:J3"/>
    <mergeCell ref="A45:A48"/>
    <mergeCell ref="B41:D41"/>
    <mergeCell ref="B42:D42"/>
    <mergeCell ref="B28:D28"/>
    <mergeCell ref="B44:D44"/>
    <mergeCell ref="A18:A44"/>
    <mergeCell ref="B19:D19"/>
    <mergeCell ref="B20:D20"/>
    <mergeCell ref="B21:D21"/>
    <mergeCell ref="B22:D22"/>
    <mergeCell ref="B23:D23"/>
    <mergeCell ref="B24:D24"/>
    <mergeCell ref="K3:L4"/>
    <mergeCell ref="B17:D17"/>
    <mergeCell ref="M3:M4"/>
    <mergeCell ref="N3:N4"/>
    <mergeCell ref="A6:A17"/>
    <mergeCell ref="B6:F6"/>
    <mergeCell ref="B7:D7"/>
    <mergeCell ref="B8:D8"/>
    <mergeCell ref="B9:D9"/>
    <mergeCell ref="B10:D10"/>
    <mergeCell ref="B11:D11"/>
    <mergeCell ref="B12:D12"/>
    <mergeCell ref="A3:A4"/>
    <mergeCell ref="B3:D4"/>
    <mergeCell ref="E3:F3"/>
    <mergeCell ref="G3:G4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61"/>
  <sheetViews>
    <sheetView workbookViewId="0">
      <selection activeCell="Q20" sqref="Q20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2" max="13" width="9.28515625" bestFit="1" customWidth="1"/>
  </cols>
  <sheetData>
    <row r="1" spans="1:14" ht="21">
      <c r="F1" s="50" t="s">
        <v>120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106</v>
      </c>
      <c r="B5" s="12"/>
      <c r="C5" s="13"/>
      <c r="D5" s="13"/>
      <c r="E5" s="13"/>
      <c r="F5" s="13"/>
      <c r="G5" s="195"/>
      <c r="H5" s="186">
        <f>H61</f>
        <v>68.433350000000004</v>
      </c>
      <c r="I5" s="186">
        <f t="shared" ref="I5:M5" si="0">I61</f>
        <v>54.654999999999987</v>
      </c>
      <c r="J5" s="186">
        <f t="shared" si="0"/>
        <v>201.4468</v>
      </c>
      <c r="K5" s="187">
        <f t="shared" si="0"/>
        <v>1584.37355</v>
      </c>
      <c r="L5" s="197"/>
      <c r="M5" s="186">
        <f t="shared" si="0"/>
        <v>26.220400000000001</v>
      </c>
      <c r="N5" s="195"/>
    </row>
    <row r="6" spans="1:14" ht="15.75" thickBot="1">
      <c r="A6" s="296" t="s">
        <v>4</v>
      </c>
      <c r="B6" s="278" t="s">
        <v>132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45</v>
      </c>
      <c r="C7" s="281"/>
      <c r="D7" s="281"/>
      <c r="E7" s="257">
        <v>25</v>
      </c>
      <c r="F7" s="257">
        <v>25</v>
      </c>
      <c r="G7" s="257"/>
      <c r="H7" s="257">
        <f>11.5/100*120</f>
        <v>13.8</v>
      </c>
      <c r="I7" s="257">
        <f>1.3/100*25</f>
        <v>0.32500000000000001</v>
      </c>
      <c r="J7" s="257">
        <f>63.1/100*25</f>
        <v>15.775</v>
      </c>
      <c r="K7" s="89">
        <f>353/100*25</f>
        <v>88.25</v>
      </c>
      <c r="L7" s="8"/>
      <c r="M7" s="257">
        <v>0</v>
      </c>
      <c r="N7" s="257"/>
    </row>
    <row r="8" spans="1:14" ht="15.75" thickBot="1">
      <c r="A8" s="297"/>
      <c r="B8" s="280" t="s">
        <v>46</v>
      </c>
      <c r="C8" s="281"/>
      <c r="D8" s="281"/>
      <c r="E8" s="257">
        <v>120</v>
      </c>
      <c r="F8" s="257">
        <v>120</v>
      </c>
      <c r="G8" s="257"/>
      <c r="H8" s="257">
        <f>2.8/100*120</f>
        <v>3.3599999999999994</v>
      </c>
      <c r="I8" s="257">
        <f>2.5/100*120</f>
        <v>3</v>
      </c>
      <c r="J8" s="257">
        <f>4.7/100*120</f>
        <v>5.64</v>
      </c>
      <c r="K8" s="89">
        <f>55/100*120</f>
        <v>66</v>
      </c>
      <c r="L8" s="8"/>
      <c r="M8" s="257">
        <f>1/100*120</f>
        <v>1.2</v>
      </c>
      <c r="N8" s="257"/>
    </row>
    <row r="9" spans="1:14" ht="15.75" thickBot="1">
      <c r="A9" s="297"/>
      <c r="B9" s="280" t="s">
        <v>47</v>
      </c>
      <c r="C9" s="281"/>
      <c r="D9" s="281"/>
      <c r="E9" s="257">
        <v>5</v>
      </c>
      <c r="F9" s="257">
        <v>5</v>
      </c>
      <c r="G9" s="257"/>
      <c r="H9" s="257">
        <v>0</v>
      </c>
      <c r="I9" s="257">
        <v>0</v>
      </c>
      <c r="J9" s="257">
        <f>100/100*5</f>
        <v>5</v>
      </c>
      <c r="K9" s="89">
        <f>400/100*5</f>
        <v>20</v>
      </c>
      <c r="L9" s="8"/>
      <c r="M9" s="257">
        <v>0</v>
      </c>
      <c r="N9" s="257"/>
    </row>
    <row r="10" spans="1:14" ht="15.75" thickBot="1">
      <c r="A10" s="297"/>
      <c r="B10" s="280" t="s">
        <v>48</v>
      </c>
      <c r="C10" s="281"/>
      <c r="D10" s="281"/>
      <c r="E10" s="257">
        <v>5</v>
      </c>
      <c r="F10" s="257">
        <v>5</v>
      </c>
      <c r="G10" s="257"/>
      <c r="H10" s="257">
        <f>0.4/100*5</f>
        <v>0.02</v>
      </c>
      <c r="I10" s="257">
        <f>78.5/100*5</f>
        <v>3.9250000000000003</v>
      </c>
      <c r="J10" s="257">
        <f>0.5/100*5</f>
        <v>2.5000000000000001E-2</v>
      </c>
      <c r="K10" s="218">
        <f>734/100*5</f>
        <v>36.700000000000003</v>
      </c>
      <c r="L10" s="262"/>
      <c r="M10" s="257">
        <f>0.6/100*5</f>
        <v>0.03</v>
      </c>
      <c r="N10" s="257"/>
    </row>
    <row r="11" spans="1:14" ht="15.75" thickBot="1">
      <c r="A11" s="297"/>
      <c r="B11" s="278" t="s">
        <v>207</v>
      </c>
      <c r="C11" s="279"/>
      <c r="D11" s="279"/>
      <c r="E11" s="261"/>
      <c r="F11" s="262"/>
      <c r="G11" s="266">
        <v>30</v>
      </c>
      <c r="H11" s="257">
        <f>7/100*30</f>
        <v>2.1</v>
      </c>
      <c r="I11" s="257">
        <f>1/100*30</f>
        <v>0.3</v>
      </c>
      <c r="J11" s="257">
        <f>47/100*30</f>
        <v>14.1</v>
      </c>
      <c r="K11" s="275">
        <f>230/100*30</f>
        <v>69</v>
      </c>
      <c r="L11" s="259"/>
      <c r="M11" s="257">
        <v>0</v>
      </c>
      <c r="N11" s="68"/>
    </row>
    <row r="12" spans="1:14" ht="15.75" thickBot="1">
      <c r="A12" s="297"/>
      <c r="B12" s="278" t="s">
        <v>23</v>
      </c>
      <c r="C12" s="279"/>
      <c r="D12" s="279"/>
      <c r="E12" s="198"/>
      <c r="F12" s="199"/>
      <c r="G12" s="70">
        <v>5</v>
      </c>
      <c r="H12" s="4">
        <f>0.4/100*5</f>
        <v>0.02</v>
      </c>
      <c r="I12" s="4">
        <f>78.5/100*5</f>
        <v>3.9250000000000003</v>
      </c>
      <c r="J12" s="4">
        <f>0.5/100*5</f>
        <v>2.5000000000000001E-2</v>
      </c>
      <c r="K12" s="275">
        <f>734/100*5</f>
        <v>36.700000000000003</v>
      </c>
      <c r="L12" s="276"/>
      <c r="M12" s="4">
        <f>0.6/100*5</f>
        <v>0.03</v>
      </c>
      <c r="N12" s="5"/>
    </row>
    <row r="13" spans="1:14" ht="15.75" thickBot="1">
      <c r="A13" s="297"/>
      <c r="B13" s="278" t="s">
        <v>179</v>
      </c>
      <c r="C13" s="279"/>
      <c r="D13" s="279"/>
      <c r="E13" s="261"/>
      <c r="F13" s="262"/>
      <c r="G13" s="266">
        <v>180</v>
      </c>
      <c r="H13" s="257"/>
      <c r="I13" s="257"/>
      <c r="J13" s="257"/>
      <c r="K13" s="7"/>
      <c r="L13" s="8"/>
      <c r="M13" s="257"/>
      <c r="N13" s="257"/>
    </row>
    <row r="14" spans="1:14" ht="15.75" thickBot="1">
      <c r="A14" s="297"/>
      <c r="B14" s="280" t="s">
        <v>76</v>
      </c>
      <c r="C14" s="281"/>
      <c r="D14" s="281"/>
      <c r="E14" s="257">
        <v>1.2</v>
      </c>
      <c r="F14" s="257">
        <v>1.2</v>
      </c>
      <c r="G14" s="257"/>
      <c r="H14" s="4">
        <f>9.9/100*1.2</f>
        <v>0.1188</v>
      </c>
      <c r="I14" s="4">
        <f>2.5/100*1.2</f>
        <v>0.03</v>
      </c>
      <c r="J14" s="4">
        <f>57.8/100*1.2</f>
        <v>0.69359999999999988</v>
      </c>
      <c r="K14" s="275">
        <f>294/100*1.2</f>
        <v>3.528</v>
      </c>
      <c r="L14" s="276"/>
      <c r="M14" s="4">
        <v>0</v>
      </c>
      <c r="N14" s="5"/>
    </row>
    <row r="15" spans="1:14" ht="15.75" thickBot="1">
      <c r="A15" s="297"/>
      <c r="B15" s="280" t="s">
        <v>46</v>
      </c>
      <c r="C15" s="281"/>
      <c r="D15" s="281"/>
      <c r="E15" s="257">
        <v>150</v>
      </c>
      <c r="F15" s="257">
        <v>150</v>
      </c>
      <c r="G15" s="257"/>
      <c r="H15" s="257">
        <f>2.8/100*150</f>
        <v>4.1999999999999993</v>
      </c>
      <c r="I15" s="257">
        <f>2.5/100*150</f>
        <v>3.75</v>
      </c>
      <c r="J15" s="257">
        <f>4.7/100*150</f>
        <v>7.05</v>
      </c>
      <c r="K15" s="89">
        <f>55/100*150</f>
        <v>82.5</v>
      </c>
      <c r="L15" s="8"/>
      <c r="M15" s="257">
        <f>1/100*150</f>
        <v>1.5</v>
      </c>
      <c r="N15" s="5"/>
    </row>
    <row r="16" spans="1:14" ht="15.75" thickBot="1">
      <c r="A16" s="306"/>
      <c r="B16" s="280" t="s">
        <v>47</v>
      </c>
      <c r="C16" s="281"/>
      <c r="D16" s="281"/>
      <c r="E16" s="257">
        <v>10</v>
      </c>
      <c r="F16" s="257">
        <v>10</v>
      </c>
      <c r="G16" s="257"/>
      <c r="H16" s="4">
        <v>0</v>
      </c>
      <c r="I16" s="4">
        <v>0</v>
      </c>
      <c r="J16" s="4">
        <f>100/100*10</f>
        <v>10</v>
      </c>
      <c r="K16" s="275">
        <f>400/100*10</f>
        <v>40</v>
      </c>
      <c r="L16" s="259"/>
      <c r="M16" s="4">
        <v>0</v>
      </c>
      <c r="N16" s="5"/>
    </row>
    <row r="17" spans="1:14" ht="15.75" thickBot="1">
      <c r="A17" s="296" t="s">
        <v>5</v>
      </c>
      <c r="B17" s="278" t="s">
        <v>212</v>
      </c>
      <c r="C17" s="279"/>
      <c r="D17" s="279"/>
      <c r="E17" s="279"/>
      <c r="F17" s="298"/>
      <c r="G17" s="137">
        <v>250</v>
      </c>
      <c r="H17" s="3"/>
      <c r="I17" s="3"/>
      <c r="J17" s="3"/>
      <c r="K17" s="285"/>
      <c r="L17" s="286"/>
      <c r="M17" s="3"/>
      <c r="N17" s="5"/>
    </row>
    <row r="18" spans="1:14" ht="15.75" thickBot="1">
      <c r="A18" s="297"/>
      <c r="B18" s="277" t="s">
        <v>28</v>
      </c>
      <c r="C18" s="277"/>
      <c r="D18" s="277"/>
      <c r="E18" s="15">
        <v>20</v>
      </c>
      <c r="F18" s="15">
        <v>20</v>
      </c>
      <c r="G18" s="142"/>
      <c r="H18" s="3">
        <f>18.9/100*20</f>
        <v>3.7799999999999994</v>
      </c>
      <c r="I18" s="3">
        <f>12.4/100*20</f>
        <v>2.48</v>
      </c>
      <c r="J18" s="3">
        <v>0</v>
      </c>
      <c r="K18" s="275">
        <f>187/100*20</f>
        <v>37.400000000000006</v>
      </c>
      <c r="L18" s="276"/>
      <c r="M18" s="3">
        <v>0</v>
      </c>
      <c r="N18" s="5"/>
    </row>
    <row r="19" spans="1:14" ht="15.75" thickBot="1">
      <c r="A19" s="297"/>
      <c r="B19" s="277" t="s">
        <v>32</v>
      </c>
      <c r="C19" s="277"/>
      <c r="D19" s="277"/>
      <c r="E19" s="15">
        <v>50</v>
      </c>
      <c r="F19" s="15">
        <v>32.5</v>
      </c>
      <c r="G19" s="142"/>
      <c r="H19" s="3">
        <f>1.2/100*32.5</f>
        <v>0.39</v>
      </c>
      <c r="I19" s="3">
        <v>0</v>
      </c>
      <c r="J19" s="3">
        <f>4.1/100*32.5</f>
        <v>1.3324999999999998</v>
      </c>
      <c r="K19" s="268">
        <f>22/100*32.5</f>
        <v>7.15</v>
      </c>
      <c r="L19" s="271"/>
      <c r="M19" s="3">
        <f>24/100*32.5</f>
        <v>7.8</v>
      </c>
      <c r="N19" s="5"/>
    </row>
    <row r="20" spans="1:14" ht="15.75" thickBot="1">
      <c r="A20" s="297"/>
      <c r="B20" s="277" t="s">
        <v>33</v>
      </c>
      <c r="C20" s="277"/>
      <c r="D20" s="277"/>
      <c r="E20" s="15">
        <v>100</v>
      </c>
      <c r="F20" s="15">
        <v>87.5</v>
      </c>
      <c r="G20" s="142"/>
      <c r="H20" s="3">
        <f>1.2/100*87.5</f>
        <v>1.05</v>
      </c>
      <c r="I20" s="3">
        <v>0</v>
      </c>
      <c r="J20" s="3">
        <f>14/100*87.5</f>
        <v>12.250000000000002</v>
      </c>
      <c r="K20" s="268">
        <f>62/100*87.5</f>
        <v>54.25</v>
      </c>
      <c r="L20" s="271"/>
      <c r="M20" s="3">
        <f>7.5/100*87.5</f>
        <v>6.5625</v>
      </c>
      <c r="N20" s="5"/>
    </row>
    <row r="21" spans="1:14" ht="15.75" thickBot="1">
      <c r="A21" s="297"/>
      <c r="B21" s="277" t="s">
        <v>34</v>
      </c>
      <c r="C21" s="277"/>
      <c r="D21" s="277"/>
      <c r="E21" s="15">
        <v>7</v>
      </c>
      <c r="F21" s="15">
        <v>5</v>
      </c>
      <c r="G21" s="142"/>
      <c r="H21" s="3">
        <f>0.2/100*5</f>
        <v>0.01</v>
      </c>
      <c r="I21" s="3">
        <v>0</v>
      </c>
      <c r="J21" s="3">
        <f>10/100*5</f>
        <v>0.5</v>
      </c>
      <c r="K21" s="268">
        <f>42/100*5</f>
        <v>2.1</v>
      </c>
      <c r="L21" s="271"/>
      <c r="M21" s="3">
        <f>8.5/100*5</f>
        <v>0.42500000000000004</v>
      </c>
      <c r="N21" s="5"/>
    </row>
    <row r="22" spans="1:14" ht="15.75" thickBot="1">
      <c r="A22" s="297"/>
      <c r="B22" s="277" t="s">
        <v>35</v>
      </c>
      <c r="C22" s="277"/>
      <c r="D22" s="277"/>
      <c r="E22" s="15">
        <v>7</v>
      </c>
      <c r="F22" s="15">
        <v>5</v>
      </c>
      <c r="G22" s="142"/>
      <c r="H22" s="3">
        <f>1/100*5</f>
        <v>0.05</v>
      </c>
      <c r="I22" s="3">
        <v>0</v>
      </c>
      <c r="J22" s="3">
        <f>6.1/100*5</f>
        <v>0.30499999999999999</v>
      </c>
      <c r="K22" s="268">
        <f>29/100*5</f>
        <v>1.45</v>
      </c>
      <c r="L22" s="271"/>
      <c r="M22" s="3">
        <f>4/100*5</f>
        <v>0.2</v>
      </c>
      <c r="N22" s="5"/>
    </row>
    <row r="23" spans="1:14" ht="15.75" thickBot="1">
      <c r="A23" s="297"/>
      <c r="B23" s="280" t="s">
        <v>23</v>
      </c>
      <c r="C23" s="281"/>
      <c r="D23" s="281"/>
      <c r="E23" s="15">
        <v>2</v>
      </c>
      <c r="F23" s="15">
        <v>2</v>
      </c>
      <c r="G23" s="142"/>
      <c r="H23" s="3">
        <f>0.4/100*2</f>
        <v>8.0000000000000002E-3</v>
      </c>
      <c r="I23" s="3">
        <f>78.5/100*2</f>
        <v>1.57</v>
      </c>
      <c r="J23" s="3">
        <f>0.5/100*2</f>
        <v>0.01</v>
      </c>
      <c r="K23" s="268">
        <f>734/100*2</f>
        <v>14.68</v>
      </c>
      <c r="L23" s="271"/>
      <c r="M23" s="3">
        <f>0.6/100*2</f>
        <v>1.2E-2</v>
      </c>
      <c r="N23" s="5"/>
    </row>
    <row r="24" spans="1:14" ht="15.75" thickBot="1">
      <c r="A24" s="297"/>
      <c r="B24" s="277" t="s">
        <v>36</v>
      </c>
      <c r="C24" s="277"/>
      <c r="D24" s="277"/>
      <c r="E24" s="15">
        <v>2</v>
      </c>
      <c r="F24" s="15">
        <v>2</v>
      </c>
      <c r="G24" s="142"/>
      <c r="H24" s="3">
        <v>0</v>
      </c>
      <c r="I24" s="3">
        <f>99.9/100*2</f>
        <v>1.9980000000000002</v>
      </c>
      <c r="J24" s="3">
        <v>0</v>
      </c>
      <c r="K24" s="268">
        <f>900/100*2</f>
        <v>18</v>
      </c>
      <c r="L24" s="271"/>
      <c r="M24" s="3">
        <v>0</v>
      </c>
      <c r="N24" s="5"/>
    </row>
    <row r="25" spans="1:14" ht="15.75" thickBot="1">
      <c r="A25" s="297"/>
      <c r="B25" s="277" t="s">
        <v>37</v>
      </c>
      <c r="C25" s="277"/>
      <c r="D25" s="277"/>
      <c r="E25" s="15">
        <v>8</v>
      </c>
      <c r="F25" s="15">
        <v>8</v>
      </c>
      <c r="G25" s="142"/>
      <c r="H25" s="3">
        <f>2.6/100*8</f>
        <v>0.20800000000000002</v>
      </c>
      <c r="I25" s="3">
        <f>15/100*8</f>
        <v>1.2</v>
      </c>
      <c r="J25" s="3">
        <f>3.6/100*8</f>
        <v>0.28800000000000003</v>
      </c>
      <c r="K25" s="275">
        <f>160/100*8</f>
        <v>12.8</v>
      </c>
      <c r="L25" s="276"/>
      <c r="M25" s="3">
        <v>0</v>
      </c>
      <c r="N25" s="5"/>
    </row>
    <row r="26" spans="1:14" ht="15.75" thickBot="1">
      <c r="A26" s="297"/>
      <c r="B26" s="277" t="s">
        <v>38</v>
      </c>
      <c r="C26" s="277"/>
      <c r="D26" s="277"/>
      <c r="E26" s="15">
        <v>4</v>
      </c>
      <c r="F26" s="15">
        <v>4</v>
      </c>
      <c r="G26" s="142"/>
      <c r="H26" s="3">
        <f>2.2/100*4</f>
        <v>8.8000000000000009E-2</v>
      </c>
      <c r="I26" s="3">
        <v>0</v>
      </c>
      <c r="J26" s="3">
        <f>15.8/100*4</f>
        <v>0.63200000000000001</v>
      </c>
      <c r="K26" s="275">
        <f>63.2/100*4</f>
        <v>2.528</v>
      </c>
      <c r="L26" s="259"/>
      <c r="M26" s="3">
        <f>26/100*4</f>
        <v>1.04</v>
      </c>
      <c r="N26" s="5"/>
    </row>
    <row r="27" spans="1:14" ht="15.75" thickBot="1">
      <c r="A27" s="297"/>
      <c r="B27" s="278" t="s">
        <v>205</v>
      </c>
      <c r="C27" s="279"/>
      <c r="D27" s="279"/>
      <c r="E27" s="220"/>
      <c r="F27" s="21"/>
      <c r="G27" s="66">
        <v>150</v>
      </c>
      <c r="H27" s="3"/>
      <c r="I27" s="3"/>
      <c r="J27" s="3"/>
      <c r="K27" s="270"/>
      <c r="L27" s="271"/>
      <c r="M27" s="3"/>
      <c r="N27" s="5"/>
    </row>
    <row r="28" spans="1:14" ht="15.75" thickBot="1">
      <c r="A28" s="297"/>
      <c r="B28" s="280" t="s">
        <v>85</v>
      </c>
      <c r="C28" s="281"/>
      <c r="D28" s="282"/>
      <c r="E28" s="15">
        <v>100</v>
      </c>
      <c r="F28" s="15">
        <v>95</v>
      </c>
      <c r="G28" s="3"/>
      <c r="H28" s="3">
        <f>15.9/100*95</f>
        <v>15.105</v>
      </c>
      <c r="I28" s="3">
        <f>0.7/100*95</f>
        <v>0.66499999999999992</v>
      </c>
      <c r="J28" s="3">
        <v>0</v>
      </c>
      <c r="K28" s="268">
        <f>70/100*95</f>
        <v>66.5</v>
      </c>
      <c r="L28" s="271"/>
      <c r="M28" s="3">
        <v>0</v>
      </c>
      <c r="N28" s="5"/>
    </row>
    <row r="29" spans="1:14" ht="15.75" thickBot="1">
      <c r="A29" s="297"/>
      <c r="B29" s="280" t="s">
        <v>48</v>
      </c>
      <c r="C29" s="283"/>
      <c r="D29" s="284"/>
      <c r="E29" s="15">
        <v>2</v>
      </c>
      <c r="F29" s="15">
        <v>2</v>
      </c>
      <c r="G29" s="5"/>
      <c r="H29" s="3">
        <f>0.4/100*2</f>
        <v>8.0000000000000002E-3</v>
      </c>
      <c r="I29" s="3">
        <f>78.5/100*2</f>
        <v>1.57</v>
      </c>
      <c r="J29" s="3">
        <f>0.5/100*2</f>
        <v>0.01</v>
      </c>
      <c r="K29" s="275">
        <f>734/100*2</f>
        <v>14.68</v>
      </c>
      <c r="L29" s="276"/>
      <c r="M29" s="3">
        <v>0</v>
      </c>
      <c r="N29" s="5"/>
    </row>
    <row r="30" spans="1:14" ht="15.75" thickBot="1">
      <c r="A30" s="297"/>
      <c r="B30" s="277" t="s">
        <v>60</v>
      </c>
      <c r="C30" s="277"/>
      <c r="D30" s="277"/>
      <c r="E30" s="15">
        <v>3</v>
      </c>
      <c r="F30" s="15">
        <v>3</v>
      </c>
      <c r="G30" s="3"/>
      <c r="H30" s="1">
        <v>0</v>
      </c>
      <c r="I30" s="1">
        <f>99.9/100*3</f>
        <v>2.9970000000000003</v>
      </c>
      <c r="J30" s="1">
        <v>0</v>
      </c>
      <c r="K30" s="275">
        <f>900/100*3</f>
        <v>27</v>
      </c>
      <c r="L30" s="276"/>
      <c r="M30" s="1">
        <v>0</v>
      </c>
      <c r="N30" s="5"/>
    </row>
    <row r="31" spans="1:14" ht="15.75" thickBot="1">
      <c r="A31" s="297"/>
      <c r="B31" s="277" t="s">
        <v>54</v>
      </c>
      <c r="C31" s="277"/>
      <c r="D31" s="277"/>
      <c r="E31" s="15">
        <v>12</v>
      </c>
      <c r="F31" s="15">
        <v>10</v>
      </c>
      <c r="G31" s="3"/>
      <c r="H31" s="3">
        <f>0.2/100*10</f>
        <v>0.02</v>
      </c>
      <c r="I31" s="3">
        <v>0</v>
      </c>
      <c r="J31" s="3">
        <f>10/100*10</f>
        <v>1</v>
      </c>
      <c r="K31" s="268">
        <f>42/100*10</f>
        <v>4.2</v>
      </c>
      <c r="L31" s="271"/>
      <c r="M31" s="3">
        <f>8.5/100*10</f>
        <v>0.85000000000000009</v>
      </c>
      <c r="N31" s="5"/>
    </row>
    <row r="32" spans="1:14" ht="15.75" thickBot="1">
      <c r="A32" s="297"/>
      <c r="B32" s="280" t="s">
        <v>55</v>
      </c>
      <c r="C32" s="281"/>
      <c r="D32" s="281"/>
      <c r="E32" s="15">
        <v>16</v>
      </c>
      <c r="F32" s="15">
        <v>10</v>
      </c>
      <c r="G32" s="3"/>
      <c r="H32" s="3">
        <f>1/100*10</f>
        <v>0.1</v>
      </c>
      <c r="I32" s="3">
        <v>0</v>
      </c>
      <c r="J32" s="3">
        <f>6.1/100*10</f>
        <v>0.61</v>
      </c>
      <c r="K32" s="268">
        <f>29/100*10</f>
        <v>2.9</v>
      </c>
      <c r="L32" s="271"/>
      <c r="M32" s="3">
        <f>4/100*10</f>
        <v>0.4</v>
      </c>
      <c r="N32" s="5"/>
    </row>
    <row r="33" spans="1:14" ht="15.75" thickBot="1">
      <c r="A33" s="297"/>
      <c r="B33" s="280" t="s">
        <v>64</v>
      </c>
      <c r="C33" s="281"/>
      <c r="D33" s="282"/>
      <c r="E33" s="15">
        <v>20</v>
      </c>
      <c r="F33" s="15">
        <v>20</v>
      </c>
      <c r="G33" s="3"/>
      <c r="H33" s="3">
        <f>7/100*20</f>
        <v>1.4000000000000001</v>
      </c>
      <c r="I33" s="3">
        <f>1/100*20</f>
        <v>0.2</v>
      </c>
      <c r="J33" s="275">
        <f>74/100*20</f>
        <v>14.8</v>
      </c>
      <c r="K33" s="275">
        <f>330/100*20</f>
        <v>66</v>
      </c>
      <c r="L33" s="276"/>
      <c r="M33" s="3">
        <v>0</v>
      </c>
      <c r="N33" s="5"/>
    </row>
    <row r="34" spans="1:14" ht="15.75" thickBot="1">
      <c r="A34" s="297"/>
      <c r="B34" s="277" t="s">
        <v>50</v>
      </c>
      <c r="C34" s="277"/>
      <c r="D34" s="277"/>
      <c r="E34" s="15">
        <v>10</v>
      </c>
      <c r="F34" s="15">
        <v>10</v>
      </c>
      <c r="G34" s="3"/>
      <c r="H34" s="3">
        <f>12.7/100*10</f>
        <v>1.27</v>
      </c>
      <c r="I34" s="3">
        <f>11.5/100*10</f>
        <v>1.1500000000000001</v>
      </c>
      <c r="J34" s="3">
        <f>0.7/100*10</f>
        <v>6.9999999999999993E-2</v>
      </c>
      <c r="K34" s="268">
        <f>241/100*10</f>
        <v>24.1</v>
      </c>
      <c r="L34" s="271"/>
      <c r="M34" s="3">
        <v>0</v>
      </c>
      <c r="N34" s="5"/>
    </row>
    <row r="35" spans="1:14" ht="15.75" thickBot="1">
      <c r="A35" s="297"/>
      <c r="B35" s="260"/>
      <c r="C35" s="261" t="s">
        <v>67</v>
      </c>
      <c r="D35" s="262"/>
      <c r="E35" s="15">
        <v>10</v>
      </c>
      <c r="F35" s="15">
        <v>10</v>
      </c>
      <c r="G35" s="3"/>
      <c r="H35" s="22">
        <f>21.5/100*10</f>
        <v>2.15</v>
      </c>
      <c r="I35" s="22">
        <f>22.5/100*10</f>
        <v>2.25</v>
      </c>
      <c r="J35" s="22">
        <v>0</v>
      </c>
      <c r="K35" s="275">
        <f>288/100*10</f>
        <v>28.799999999999997</v>
      </c>
      <c r="L35" s="276"/>
      <c r="M35" s="3">
        <v>0</v>
      </c>
      <c r="N35" s="5"/>
    </row>
    <row r="36" spans="1:14" ht="15.75" thickBot="1">
      <c r="A36" s="297"/>
      <c r="B36" s="280" t="s">
        <v>63</v>
      </c>
      <c r="C36" s="281"/>
      <c r="D36" s="282"/>
      <c r="E36" s="15">
        <v>6</v>
      </c>
      <c r="F36" s="15">
        <v>6</v>
      </c>
      <c r="G36" s="73"/>
      <c r="H36" s="3">
        <f>2.6/100*4</f>
        <v>0.10400000000000001</v>
      </c>
      <c r="I36" s="3">
        <f>15/100*4</f>
        <v>0.6</v>
      </c>
      <c r="J36" s="3">
        <f>3.6/100*4</f>
        <v>0.14400000000000002</v>
      </c>
      <c r="K36" s="275">
        <f>160/100*4</f>
        <v>6.4</v>
      </c>
      <c r="L36" s="276"/>
      <c r="M36" s="3">
        <v>0</v>
      </c>
      <c r="N36" s="5"/>
    </row>
    <row r="37" spans="1:14" ht="15.75" thickBot="1">
      <c r="A37" s="297"/>
      <c r="B37" s="278" t="s">
        <v>145</v>
      </c>
      <c r="C37" s="279"/>
      <c r="D37" s="279"/>
      <c r="E37" s="279"/>
      <c r="F37" s="298"/>
      <c r="G37" s="137">
        <v>70</v>
      </c>
      <c r="H37" s="1"/>
      <c r="I37" s="1"/>
      <c r="J37" s="1"/>
      <c r="K37" s="272"/>
      <c r="L37" s="273"/>
      <c r="M37" s="1"/>
      <c r="N37" s="5"/>
    </row>
    <row r="38" spans="1:14" ht="15.75" thickBot="1">
      <c r="A38" s="297"/>
      <c r="B38" s="280" t="s">
        <v>48</v>
      </c>
      <c r="C38" s="283"/>
      <c r="D38" s="284"/>
      <c r="E38" s="15">
        <v>2</v>
      </c>
      <c r="F38" s="15">
        <v>2</v>
      </c>
      <c r="G38" s="5"/>
      <c r="H38" s="3">
        <f>0.4/100*2</f>
        <v>8.0000000000000002E-3</v>
      </c>
      <c r="I38" s="3">
        <f>78.5/100*2</f>
        <v>1.57</v>
      </c>
      <c r="J38" s="3">
        <f>0.5/100*2</f>
        <v>0.01</v>
      </c>
      <c r="K38" s="275">
        <f>734/100*2</f>
        <v>14.68</v>
      </c>
      <c r="L38" s="276"/>
      <c r="M38" s="3">
        <v>0</v>
      </c>
      <c r="N38" s="5"/>
    </row>
    <row r="39" spans="1:14" ht="15.75" thickBot="1">
      <c r="A39" s="297"/>
      <c r="B39" s="277" t="s">
        <v>60</v>
      </c>
      <c r="C39" s="277"/>
      <c r="D39" s="277"/>
      <c r="E39" s="15">
        <v>2</v>
      </c>
      <c r="F39" s="15">
        <v>2</v>
      </c>
      <c r="G39" s="3"/>
      <c r="H39" s="1">
        <v>0</v>
      </c>
      <c r="I39" s="1">
        <f>99.9/100*2</f>
        <v>1.9980000000000002</v>
      </c>
      <c r="J39" s="1">
        <v>0</v>
      </c>
      <c r="K39" s="275">
        <f>900/100*2</f>
        <v>18</v>
      </c>
      <c r="L39" s="276"/>
      <c r="M39" s="1">
        <v>0</v>
      </c>
      <c r="N39" s="5"/>
    </row>
    <row r="40" spans="1:14" ht="15.75" thickBot="1">
      <c r="A40" s="297"/>
      <c r="B40" s="277" t="s">
        <v>54</v>
      </c>
      <c r="C40" s="277"/>
      <c r="D40" s="277"/>
      <c r="E40" s="15">
        <v>7</v>
      </c>
      <c r="F40" s="15">
        <v>5</v>
      </c>
      <c r="G40" s="3"/>
      <c r="H40" s="3">
        <f>0.2/100*5</f>
        <v>0.01</v>
      </c>
      <c r="I40" s="3">
        <v>0</v>
      </c>
      <c r="J40" s="3">
        <f>10/100*5</f>
        <v>0.5</v>
      </c>
      <c r="K40" s="268">
        <f>42/100*5</f>
        <v>2.1</v>
      </c>
      <c r="L40" s="271"/>
      <c r="M40" s="3">
        <f>8.5/100*5</f>
        <v>0.42500000000000004</v>
      </c>
      <c r="N40" s="5"/>
    </row>
    <row r="41" spans="1:14" ht="15.75" thickBot="1">
      <c r="A41" s="297"/>
      <c r="B41" s="280" t="s">
        <v>55</v>
      </c>
      <c r="C41" s="281"/>
      <c r="D41" s="281"/>
      <c r="E41" s="15">
        <v>7</v>
      </c>
      <c r="F41" s="15">
        <v>5</v>
      </c>
      <c r="G41" s="3"/>
      <c r="H41" s="3">
        <f>1/100*5</f>
        <v>0.05</v>
      </c>
      <c r="I41" s="3">
        <v>0</v>
      </c>
      <c r="J41" s="3">
        <f>6.1/100*5</f>
        <v>0.30499999999999999</v>
      </c>
      <c r="K41" s="268">
        <f>29/100*5</f>
        <v>1.45</v>
      </c>
      <c r="L41" s="271"/>
      <c r="M41" s="3">
        <f>4/100*5</f>
        <v>0.2</v>
      </c>
      <c r="N41" s="5"/>
    </row>
    <row r="42" spans="1:14" ht="15.75" thickBot="1">
      <c r="A42" s="297"/>
      <c r="B42" s="260"/>
      <c r="C42" s="261" t="s">
        <v>51</v>
      </c>
      <c r="D42" s="265"/>
      <c r="E42" s="15">
        <v>12</v>
      </c>
      <c r="F42" s="15">
        <v>12</v>
      </c>
      <c r="G42" s="5"/>
      <c r="H42" s="3">
        <f>10.3/100*12</f>
        <v>1.2360000000000002</v>
      </c>
      <c r="I42" s="3">
        <f>1.1/100*12</f>
        <v>0.13200000000000001</v>
      </c>
      <c r="J42" s="3">
        <f>70.6/100*12</f>
        <v>8.4719999999999995</v>
      </c>
      <c r="K42" s="268">
        <f>334/100*12</f>
        <v>40.08</v>
      </c>
      <c r="L42" s="271"/>
      <c r="M42" s="3">
        <v>0</v>
      </c>
      <c r="N42" s="5"/>
    </row>
    <row r="43" spans="1:14" ht="15.75" thickBot="1">
      <c r="A43" s="297"/>
      <c r="B43" s="280" t="s">
        <v>78</v>
      </c>
      <c r="C43" s="283"/>
      <c r="D43" s="284"/>
      <c r="E43" s="15">
        <v>7</v>
      </c>
      <c r="F43" s="15">
        <v>7</v>
      </c>
      <c r="G43" s="5"/>
      <c r="H43" s="3">
        <f>2.2/100*7</f>
        <v>0.15400000000000003</v>
      </c>
      <c r="I43" s="3">
        <v>0</v>
      </c>
      <c r="J43" s="3">
        <f>15.8/100*7</f>
        <v>1.1060000000000001</v>
      </c>
      <c r="K43" s="268">
        <f>63.2/100*7</f>
        <v>4.4240000000000004</v>
      </c>
      <c r="L43" s="271"/>
      <c r="M43" s="3">
        <f>26/100*7</f>
        <v>1.82</v>
      </c>
      <c r="N43" s="5"/>
    </row>
    <row r="44" spans="1:14" ht="15.75" thickBot="1">
      <c r="A44" s="297"/>
      <c r="B44" s="277" t="s">
        <v>72</v>
      </c>
      <c r="C44" s="277"/>
      <c r="D44" s="277"/>
      <c r="E44" s="15">
        <v>3</v>
      </c>
      <c r="F44" s="15">
        <v>2.8</v>
      </c>
      <c r="G44" s="3"/>
      <c r="H44" s="1">
        <f>0.8/1400*2.8</f>
        <v>1.6000000000000001E-3</v>
      </c>
      <c r="I44" s="1">
        <v>0</v>
      </c>
      <c r="J44" s="1">
        <f>3.3/100*2.8</f>
        <v>9.2399999999999996E-2</v>
      </c>
      <c r="K44" s="275">
        <f>17/100*2.8</f>
        <v>0.47599999999999998</v>
      </c>
      <c r="L44" s="276"/>
      <c r="M44" s="1">
        <f>7.06/2</f>
        <v>3.53</v>
      </c>
      <c r="N44" s="5"/>
    </row>
    <row r="45" spans="1:14" ht="15.75" thickBot="1">
      <c r="A45" s="297"/>
      <c r="B45" s="278" t="s">
        <v>129</v>
      </c>
      <c r="C45" s="279"/>
      <c r="D45" s="279"/>
      <c r="E45" s="220"/>
      <c r="F45" s="21"/>
      <c r="G45" s="66">
        <v>50</v>
      </c>
      <c r="H45" s="3">
        <f>7/100*50</f>
        <v>3.5000000000000004</v>
      </c>
      <c r="I45" s="3">
        <f>1/100*50</f>
        <v>0.5</v>
      </c>
      <c r="J45" s="3">
        <f>46/100*50</f>
        <v>23</v>
      </c>
      <c r="K45" s="287">
        <f>200/100*50</f>
        <v>100</v>
      </c>
      <c r="L45" s="288"/>
      <c r="M45" s="3">
        <v>0</v>
      </c>
      <c r="N45" s="5"/>
    </row>
    <row r="46" spans="1:14" ht="15.75" thickBot="1">
      <c r="A46" s="297"/>
      <c r="B46" s="278" t="s">
        <v>40</v>
      </c>
      <c r="C46" s="279"/>
      <c r="D46" s="279"/>
      <c r="E46" s="220"/>
      <c r="F46" s="21"/>
      <c r="G46" s="66">
        <v>180</v>
      </c>
      <c r="H46" s="3"/>
      <c r="I46" s="3"/>
      <c r="J46" s="3"/>
      <c r="K46" s="270"/>
      <c r="L46" s="271"/>
      <c r="M46" s="3"/>
      <c r="N46" s="5"/>
    </row>
    <row r="47" spans="1:14" ht="15.75" thickBot="1">
      <c r="A47" s="297"/>
      <c r="B47" s="280" t="s">
        <v>57</v>
      </c>
      <c r="C47" s="281"/>
      <c r="D47" s="282"/>
      <c r="E47" s="257">
        <v>11</v>
      </c>
      <c r="F47" s="257">
        <v>16.5</v>
      </c>
      <c r="G47" s="3"/>
      <c r="H47" s="4">
        <f>0.63/100*16.5</f>
        <v>0.10395</v>
      </c>
      <c r="I47" s="4">
        <v>0</v>
      </c>
      <c r="J47" s="4">
        <f>10.06/100*16.5</f>
        <v>1.6599000000000002</v>
      </c>
      <c r="K47" s="275">
        <f>40.87/100*16.5</f>
        <v>6.743549999999999</v>
      </c>
      <c r="L47" s="276"/>
      <c r="M47" s="4">
        <f>0.46/100*16.5</f>
        <v>7.5899999999999995E-2</v>
      </c>
      <c r="N47" s="5"/>
    </row>
    <row r="48" spans="1:14" ht="15.75" thickBot="1">
      <c r="A48" s="297"/>
      <c r="B48" s="280" t="s">
        <v>47</v>
      </c>
      <c r="C48" s="281"/>
      <c r="D48" s="282"/>
      <c r="E48" s="257">
        <v>10</v>
      </c>
      <c r="F48" s="257">
        <v>10</v>
      </c>
      <c r="G48" s="5"/>
      <c r="H48" s="4">
        <v>0</v>
      </c>
      <c r="I48" s="4">
        <v>0</v>
      </c>
      <c r="J48" s="4">
        <f>100/100*10</f>
        <v>10</v>
      </c>
      <c r="K48" s="275">
        <f>400/100*10</f>
        <v>40</v>
      </c>
      <c r="L48" s="276"/>
      <c r="M48" s="4">
        <v>0</v>
      </c>
      <c r="N48" s="5"/>
    </row>
    <row r="49" spans="1:14" ht="15.75" thickBot="1">
      <c r="A49" s="296" t="s">
        <v>6</v>
      </c>
      <c r="B49" s="256" t="s">
        <v>186</v>
      </c>
      <c r="C49" s="261"/>
      <c r="D49" s="261"/>
      <c r="E49" s="220"/>
      <c r="F49" s="21"/>
      <c r="G49" s="137">
        <v>20</v>
      </c>
      <c r="H49" s="4">
        <f>10/100*22.5</f>
        <v>2.25</v>
      </c>
      <c r="I49" s="4">
        <f>5/100*22.5</f>
        <v>1.125</v>
      </c>
      <c r="J49" s="4">
        <f>70/100*2.5</f>
        <v>1.75</v>
      </c>
      <c r="K49" s="275">
        <f>370/100*22.5</f>
        <v>83.25</v>
      </c>
      <c r="L49" s="273"/>
      <c r="M49" s="4">
        <v>0</v>
      </c>
      <c r="N49" s="5"/>
    </row>
    <row r="50" spans="1:14" ht="15.75" thickBot="1">
      <c r="A50" s="297"/>
      <c r="B50" s="256" t="s">
        <v>182</v>
      </c>
      <c r="C50" s="264"/>
      <c r="D50" s="264"/>
      <c r="E50" s="261"/>
      <c r="F50" s="262"/>
      <c r="G50" s="66">
        <v>150</v>
      </c>
      <c r="H50" s="4"/>
      <c r="I50" s="4"/>
      <c r="J50" s="4"/>
      <c r="K50" s="275"/>
      <c r="L50" s="273"/>
      <c r="M50" s="4"/>
      <c r="N50" s="5"/>
    </row>
    <row r="51" spans="1:14" ht="15.75" thickBot="1">
      <c r="A51" s="297"/>
      <c r="B51" s="227"/>
      <c r="C51" s="228" t="s">
        <v>182</v>
      </c>
      <c r="D51" s="265"/>
      <c r="E51" s="257">
        <v>150</v>
      </c>
      <c r="F51" s="257">
        <v>150</v>
      </c>
      <c r="G51" s="66"/>
      <c r="H51" s="4">
        <f>3/100*150</f>
        <v>4.5</v>
      </c>
      <c r="I51" s="4">
        <f>2.5/100*150</f>
        <v>3.75</v>
      </c>
      <c r="J51" s="4">
        <f>4.4/100*150</f>
        <v>6.6000000000000005</v>
      </c>
      <c r="K51" s="275">
        <f>51/100*150</f>
        <v>76.5</v>
      </c>
      <c r="L51" s="273"/>
      <c r="M51" s="4">
        <v>0</v>
      </c>
      <c r="N51" s="5"/>
    </row>
    <row r="52" spans="1:14" ht="15.75" thickBot="1">
      <c r="A52" s="306"/>
      <c r="B52" s="260"/>
      <c r="C52" s="261" t="s">
        <v>24</v>
      </c>
      <c r="D52" s="265"/>
      <c r="E52" s="257">
        <v>5</v>
      </c>
      <c r="F52" s="257">
        <v>5</v>
      </c>
      <c r="G52" s="5"/>
      <c r="H52" s="257">
        <f>0.4/100*5</f>
        <v>0.02</v>
      </c>
      <c r="I52" s="257">
        <f>78.5/100*5</f>
        <v>3.9250000000000003</v>
      </c>
      <c r="J52" s="257">
        <f>0.5/100*5</f>
        <v>2.5000000000000001E-2</v>
      </c>
      <c r="K52" s="218">
        <f>734/100*5</f>
        <v>36.700000000000003</v>
      </c>
      <c r="L52" s="262"/>
      <c r="M52" s="257">
        <f>0.6/100*5</f>
        <v>0.03</v>
      </c>
      <c r="N52" s="5"/>
    </row>
    <row r="53" spans="1:14" ht="15.75" thickBot="1">
      <c r="A53" s="296" t="s">
        <v>7</v>
      </c>
      <c r="B53" s="278" t="s">
        <v>127</v>
      </c>
      <c r="C53" s="279"/>
      <c r="D53" s="279"/>
      <c r="E53" s="220"/>
      <c r="F53" s="21"/>
      <c r="G53" s="137">
        <v>120</v>
      </c>
      <c r="H53" s="3"/>
      <c r="I53" s="3"/>
      <c r="J53" s="3"/>
      <c r="K53" s="285"/>
      <c r="L53" s="286"/>
      <c r="M53" s="3"/>
      <c r="N53" s="66">
        <v>194</v>
      </c>
    </row>
    <row r="54" spans="1:14" ht="15.75" thickBot="1">
      <c r="A54" s="297"/>
      <c r="B54" s="277" t="s">
        <v>43</v>
      </c>
      <c r="C54" s="277"/>
      <c r="D54" s="277"/>
      <c r="E54" s="15">
        <v>50</v>
      </c>
      <c r="F54" s="15">
        <v>50</v>
      </c>
      <c r="G54" s="72"/>
      <c r="H54" s="3">
        <f>10/100*50</f>
        <v>5</v>
      </c>
      <c r="I54" s="3">
        <f>1/100*F54</f>
        <v>0.5</v>
      </c>
      <c r="J54" s="3">
        <f>71/100*50</f>
        <v>35.5</v>
      </c>
      <c r="K54" s="268">
        <f>340/100*50</f>
        <v>170</v>
      </c>
      <c r="L54" s="271"/>
      <c r="M54" s="3">
        <v>0</v>
      </c>
      <c r="N54" s="5"/>
    </row>
    <row r="55" spans="1:14" ht="15.75" thickBot="1">
      <c r="A55" s="297"/>
      <c r="B55" s="280" t="s">
        <v>23</v>
      </c>
      <c r="C55" s="281"/>
      <c r="D55" s="281"/>
      <c r="E55" s="15">
        <v>5</v>
      </c>
      <c r="F55" s="15">
        <v>5</v>
      </c>
      <c r="G55" s="73"/>
      <c r="H55" s="3">
        <f>0.4/100*5</f>
        <v>0.02</v>
      </c>
      <c r="I55" s="3">
        <f>78.5/100*5</f>
        <v>3.9250000000000003</v>
      </c>
      <c r="J55" s="3">
        <f>0.5/100*5</f>
        <v>2.5000000000000001E-2</v>
      </c>
      <c r="K55" s="268">
        <f>734/100*5</f>
        <v>36.700000000000003</v>
      </c>
      <c r="L55" s="271"/>
      <c r="M55" s="3">
        <f>0.6/100*5</f>
        <v>0.03</v>
      </c>
      <c r="N55" s="5"/>
    </row>
    <row r="56" spans="1:14" ht="15.75" thickBot="1">
      <c r="A56" s="297"/>
      <c r="B56" s="277" t="s">
        <v>36</v>
      </c>
      <c r="C56" s="277"/>
      <c r="D56" s="277"/>
      <c r="E56" s="15">
        <v>2</v>
      </c>
      <c r="F56" s="15">
        <v>2</v>
      </c>
      <c r="G56" s="73"/>
      <c r="H56" s="3">
        <v>0</v>
      </c>
      <c r="I56" s="3">
        <f>99.9/100*5</f>
        <v>4.995000000000001</v>
      </c>
      <c r="J56" s="3">
        <v>0</v>
      </c>
      <c r="K56" s="275">
        <f>900/100*2</f>
        <v>18</v>
      </c>
      <c r="L56" s="259"/>
      <c r="M56" s="3">
        <v>0</v>
      </c>
      <c r="N56" s="5"/>
    </row>
    <row r="57" spans="1:14" ht="15.75" thickBot="1">
      <c r="A57" s="297"/>
      <c r="B57" s="278" t="s">
        <v>207</v>
      </c>
      <c r="C57" s="279"/>
      <c r="D57" s="279"/>
      <c r="E57" s="261"/>
      <c r="F57" s="262"/>
      <c r="G57" s="266">
        <v>30</v>
      </c>
      <c r="H57" s="257">
        <f>7/100*30</f>
        <v>2.1</v>
      </c>
      <c r="I57" s="257">
        <f>1/100*30</f>
        <v>0.3</v>
      </c>
      <c r="J57" s="257">
        <f>47/100*30</f>
        <v>14.1</v>
      </c>
      <c r="K57" s="275">
        <f>230/100*30</f>
        <v>69</v>
      </c>
      <c r="L57" s="259"/>
      <c r="M57" s="257">
        <v>0</v>
      </c>
      <c r="N57" s="85"/>
    </row>
    <row r="58" spans="1:14" ht="15.75" thickBot="1">
      <c r="A58" s="297"/>
      <c r="B58" s="278" t="s">
        <v>44</v>
      </c>
      <c r="C58" s="279"/>
      <c r="D58" s="279"/>
      <c r="E58" s="220"/>
      <c r="F58" s="21"/>
      <c r="G58" s="137">
        <v>180</v>
      </c>
      <c r="H58" s="3"/>
      <c r="I58" s="3"/>
      <c r="J58" s="3"/>
      <c r="K58" s="307"/>
      <c r="L58" s="308"/>
      <c r="M58" s="3"/>
      <c r="N58" s="66">
        <v>263</v>
      </c>
    </row>
    <row r="59" spans="1:14" ht="15.75" thickBot="1">
      <c r="A59" s="297"/>
      <c r="B59" s="277" t="s">
        <v>210</v>
      </c>
      <c r="C59" s="277"/>
      <c r="D59" s="277"/>
      <c r="E59" s="257">
        <v>0.6</v>
      </c>
      <c r="F59" s="257">
        <v>0.6</v>
      </c>
      <c r="G59" s="257"/>
      <c r="H59" s="4">
        <f>20/100*0.6</f>
        <v>0.12</v>
      </c>
      <c r="I59" s="4">
        <v>0</v>
      </c>
      <c r="J59" s="4">
        <f>6.9/100*0.6</f>
        <v>4.1399999999999999E-2</v>
      </c>
      <c r="K59" s="275">
        <f>109/100*0.6</f>
        <v>0.65400000000000003</v>
      </c>
      <c r="L59" s="276"/>
      <c r="M59" s="4">
        <f>10/100*0.6</f>
        <v>0.06</v>
      </c>
      <c r="N59" s="257"/>
    </row>
    <row r="60" spans="1:14" ht="15.75" thickBot="1">
      <c r="A60" s="306"/>
      <c r="B60" s="280" t="s">
        <v>24</v>
      </c>
      <c r="C60" s="281"/>
      <c r="D60" s="281"/>
      <c r="E60" s="257">
        <v>8</v>
      </c>
      <c r="F60" s="257">
        <v>8</v>
      </c>
      <c r="G60" s="266"/>
      <c r="H60" s="3">
        <v>0</v>
      </c>
      <c r="I60" s="3">
        <v>0</v>
      </c>
      <c r="J60" s="3">
        <v>8</v>
      </c>
      <c r="K60" s="275">
        <v>32</v>
      </c>
      <c r="L60" s="259"/>
      <c r="M60" s="3">
        <v>0</v>
      </c>
      <c r="N60" s="5"/>
    </row>
    <row r="61" spans="1:14">
      <c r="H61" s="37">
        <f t="shared" ref="H61:M61" si="1">SUM(H7:H60)</f>
        <v>68.433350000000004</v>
      </c>
      <c r="I61" s="37">
        <f t="shared" si="1"/>
        <v>54.654999999999987</v>
      </c>
      <c r="J61" s="37">
        <f t="shared" si="1"/>
        <v>201.4468</v>
      </c>
      <c r="K61" s="37">
        <f t="shared" si="1"/>
        <v>1584.37355</v>
      </c>
      <c r="L61" s="37">
        <f t="shared" si="1"/>
        <v>0</v>
      </c>
      <c r="M61" s="37">
        <f t="shared" si="1"/>
        <v>26.220400000000001</v>
      </c>
    </row>
  </sheetData>
  <mergeCells count="65">
    <mergeCell ref="B43:D43"/>
    <mergeCell ref="K45:L45"/>
    <mergeCell ref="B60:D60"/>
    <mergeCell ref="B37:F37"/>
    <mergeCell ref="B38:D38"/>
    <mergeCell ref="B39:D39"/>
    <mergeCell ref="B40:D40"/>
    <mergeCell ref="B41:D41"/>
    <mergeCell ref="A53:A60"/>
    <mergeCell ref="B47:D47"/>
    <mergeCell ref="B46:D46"/>
    <mergeCell ref="B48:D48"/>
    <mergeCell ref="B57:D57"/>
    <mergeCell ref="B58:D58"/>
    <mergeCell ref="K58:L58"/>
    <mergeCell ref="B59:D59"/>
    <mergeCell ref="A49:A52"/>
    <mergeCell ref="B30:D30"/>
    <mergeCell ref="B16:D16"/>
    <mergeCell ref="B17:F17"/>
    <mergeCell ref="K17:L17"/>
    <mergeCell ref="B31:D31"/>
    <mergeCell ref="B44:D44"/>
    <mergeCell ref="B26:D26"/>
    <mergeCell ref="B33:D33"/>
    <mergeCell ref="B24:D24"/>
    <mergeCell ref="B25:D25"/>
    <mergeCell ref="B27:D27"/>
    <mergeCell ref="B28:D28"/>
    <mergeCell ref="B29:D29"/>
    <mergeCell ref="B32:D32"/>
    <mergeCell ref="M3:M4"/>
    <mergeCell ref="B14:D14"/>
    <mergeCell ref="B15:D15"/>
    <mergeCell ref="A17:A48"/>
    <mergeCell ref="B18:D18"/>
    <mergeCell ref="B19:D19"/>
    <mergeCell ref="B20:D20"/>
    <mergeCell ref="B21:D21"/>
    <mergeCell ref="B22:D22"/>
    <mergeCell ref="B34:D34"/>
    <mergeCell ref="B23:D23"/>
    <mergeCell ref="B36:D36"/>
    <mergeCell ref="N3:N4"/>
    <mergeCell ref="A6:A16"/>
    <mergeCell ref="B6:F6"/>
    <mergeCell ref="B7:D7"/>
    <mergeCell ref="B8:D8"/>
    <mergeCell ref="B9:D9"/>
    <mergeCell ref="B10:D10"/>
    <mergeCell ref="B11:D11"/>
    <mergeCell ref="B12:D12"/>
    <mergeCell ref="A3:A4"/>
    <mergeCell ref="B3:D4"/>
    <mergeCell ref="E3:F3"/>
    <mergeCell ref="H3:J3"/>
    <mergeCell ref="K3:L4"/>
    <mergeCell ref="B13:D13"/>
    <mergeCell ref="G3:G4"/>
    <mergeCell ref="B45:D45"/>
    <mergeCell ref="B53:D53"/>
    <mergeCell ref="K53:L53"/>
    <mergeCell ref="B54:D54"/>
    <mergeCell ref="B55:D55"/>
    <mergeCell ref="B56:D56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67"/>
  <sheetViews>
    <sheetView topLeftCell="A43" workbookViewId="0">
      <selection activeCell="P63" sqref="P63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3" max="13" width="9.28515625" bestFit="1" customWidth="1"/>
  </cols>
  <sheetData>
    <row r="1" spans="1:14" ht="21">
      <c r="F1" s="50" t="s">
        <v>119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116</v>
      </c>
      <c r="B5" s="9"/>
      <c r="C5" s="10"/>
      <c r="D5" s="10"/>
      <c r="E5" s="10"/>
      <c r="F5" s="10"/>
      <c r="G5" s="15"/>
      <c r="H5" s="16">
        <f>H67</f>
        <v>55.875949999999982</v>
      </c>
      <c r="I5" s="16">
        <f>I67</f>
        <v>77.313000000000017</v>
      </c>
      <c r="J5" s="16">
        <f>J67</f>
        <v>209.06370000000004</v>
      </c>
      <c r="K5" s="38">
        <f>K67</f>
        <v>1753.25155</v>
      </c>
      <c r="L5" s="39"/>
      <c r="M5" s="16">
        <f>M67</f>
        <v>34.187900000000013</v>
      </c>
      <c r="N5" s="15"/>
    </row>
    <row r="6" spans="1:14" ht="15.75" thickBot="1">
      <c r="A6" s="296" t="s">
        <v>4</v>
      </c>
      <c r="B6" s="278" t="s">
        <v>150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87</v>
      </c>
      <c r="C7" s="283"/>
      <c r="D7" s="284"/>
      <c r="E7" s="257">
        <v>10</v>
      </c>
      <c r="F7" s="257">
        <v>10</v>
      </c>
      <c r="G7" s="257"/>
      <c r="H7" s="4">
        <f>12.6/100*10</f>
        <v>1.26</v>
      </c>
      <c r="I7" s="4">
        <f>3.3/100*10</f>
        <v>0.33</v>
      </c>
      <c r="J7" s="4">
        <f>60.7/100*10</f>
        <v>6.07</v>
      </c>
      <c r="K7" s="275">
        <f>335/100*10</f>
        <v>33.5</v>
      </c>
      <c r="L7" s="259"/>
      <c r="M7" s="4">
        <v>0</v>
      </c>
      <c r="N7" s="5"/>
    </row>
    <row r="8" spans="1:14" ht="15.75" thickBot="1">
      <c r="A8" s="297"/>
      <c r="B8" s="280" t="s">
        <v>65</v>
      </c>
      <c r="C8" s="281"/>
      <c r="D8" s="281"/>
      <c r="E8" s="257">
        <v>10</v>
      </c>
      <c r="F8" s="257">
        <v>10</v>
      </c>
      <c r="G8" s="257"/>
      <c r="H8" s="257">
        <f>11.5/100*10</f>
        <v>1.1500000000000001</v>
      </c>
      <c r="I8" s="257">
        <f>3.3/100*10</f>
        <v>0.33</v>
      </c>
      <c r="J8" s="257">
        <f>65.5/100*10</f>
        <v>6.5500000000000007</v>
      </c>
      <c r="K8" s="89">
        <f>348/100*10</f>
        <v>34.799999999999997</v>
      </c>
      <c r="L8" s="8"/>
      <c r="M8" s="257">
        <v>0</v>
      </c>
      <c r="N8" s="257"/>
    </row>
    <row r="9" spans="1:14" ht="15.75" thickBot="1">
      <c r="A9" s="297"/>
      <c r="B9" s="280" t="s">
        <v>64</v>
      </c>
      <c r="C9" s="281"/>
      <c r="D9" s="281"/>
      <c r="E9" s="257">
        <v>10</v>
      </c>
      <c r="F9" s="257">
        <v>10</v>
      </c>
      <c r="G9" s="257"/>
      <c r="H9" s="4">
        <f>7/100*10</f>
        <v>0.70000000000000007</v>
      </c>
      <c r="I9" s="4">
        <f>1/100*10</f>
        <v>0.1</v>
      </c>
      <c r="J9" s="258">
        <f>74/100*10</f>
        <v>7.4</v>
      </c>
      <c r="K9" s="275">
        <f>330/100*10</f>
        <v>33</v>
      </c>
      <c r="L9" s="259"/>
      <c r="M9" s="4">
        <v>0</v>
      </c>
      <c r="N9" s="257"/>
    </row>
    <row r="10" spans="1:14" ht="15.75" thickBot="1">
      <c r="A10" s="297"/>
      <c r="B10" s="280" t="s">
        <v>46</v>
      </c>
      <c r="C10" s="281"/>
      <c r="D10" s="281"/>
      <c r="E10" s="257">
        <v>150</v>
      </c>
      <c r="F10" s="257">
        <v>150</v>
      </c>
      <c r="G10" s="257"/>
      <c r="H10" s="257">
        <f>2.8/100*150</f>
        <v>4.1999999999999993</v>
      </c>
      <c r="I10" s="257">
        <f>2.5/100*150</f>
        <v>3.75</v>
      </c>
      <c r="J10" s="257">
        <f>4.7/100*150</f>
        <v>7.05</v>
      </c>
      <c r="K10" s="89">
        <f>55/100*150</f>
        <v>82.5</v>
      </c>
      <c r="L10" s="8"/>
      <c r="M10" s="257">
        <f>1/100*150</f>
        <v>1.5</v>
      </c>
      <c r="N10" s="257"/>
    </row>
    <row r="11" spans="1:14" ht="15.75" thickBot="1">
      <c r="A11" s="297"/>
      <c r="B11" s="280" t="s">
        <v>48</v>
      </c>
      <c r="C11" s="281"/>
      <c r="D11" s="281"/>
      <c r="E11" s="257">
        <v>5</v>
      </c>
      <c r="F11" s="257">
        <v>5</v>
      </c>
      <c r="G11" s="257"/>
      <c r="H11" s="257">
        <v>0</v>
      </c>
      <c r="I11" s="257">
        <v>0</v>
      </c>
      <c r="J11" s="257">
        <f>100/100*5</f>
        <v>5</v>
      </c>
      <c r="K11" s="89">
        <f>400/100*5</f>
        <v>20</v>
      </c>
      <c r="L11" s="8"/>
      <c r="M11" s="257">
        <v>0</v>
      </c>
      <c r="N11" s="257"/>
    </row>
    <row r="12" spans="1:14" ht="15.75" thickBot="1">
      <c r="A12" s="297"/>
      <c r="B12" s="280" t="s">
        <v>47</v>
      </c>
      <c r="C12" s="281"/>
      <c r="D12" s="281"/>
      <c r="E12" s="257">
        <v>5</v>
      </c>
      <c r="F12" s="257">
        <v>5</v>
      </c>
      <c r="G12" s="257"/>
      <c r="H12" s="257">
        <f>0.4/100*5</f>
        <v>0.02</v>
      </c>
      <c r="I12" s="257">
        <f>78.5/100*5</f>
        <v>3.9250000000000003</v>
      </c>
      <c r="J12" s="257">
        <f>0.5/100*5</f>
        <v>2.5000000000000001E-2</v>
      </c>
      <c r="K12" s="218">
        <f>734/100*5</f>
        <v>36.700000000000003</v>
      </c>
      <c r="L12" s="262"/>
      <c r="M12" s="257">
        <f>0.6/100*5</f>
        <v>0.03</v>
      </c>
      <c r="N12" s="257"/>
    </row>
    <row r="13" spans="1:14" ht="15.75" thickBot="1">
      <c r="A13" s="297"/>
      <c r="B13" s="278" t="s">
        <v>207</v>
      </c>
      <c r="C13" s="279"/>
      <c r="D13" s="279"/>
      <c r="E13" s="261"/>
      <c r="F13" s="262"/>
      <c r="G13" s="266">
        <v>30</v>
      </c>
      <c r="H13" s="257">
        <f>7/100*30</f>
        <v>2.1</v>
      </c>
      <c r="I13" s="257">
        <f>1/100*30</f>
        <v>0.3</v>
      </c>
      <c r="J13" s="257">
        <f>47/100*30</f>
        <v>14.1</v>
      </c>
      <c r="K13" s="275">
        <f>230/100*30</f>
        <v>69</v>
      </c>
      <c r="L13" s="259"/>
      <c r="M13" s="257">
        <v>0</v>
      </c>
      <c r="N13" s="85"/>
    </row>
    <row r="14" spans="1:14" ht="15.75" thickBot="1">
      <c r="A14" s="297"/>
      <c r="B14" s="278" t="s">
        <v>189</v>
      </c>
      <c r="C14" s="279"/>
      <c r="D14" s="279"/>
      <c r="E14" s="261"/>
      <c r="F14" s="262"/>
      <c r="G14" s="266">
        <v>6</v>
      </c>
      <c r="H14" s="4">
        <f>21.5/100*6</f>
        <v>1.29</v>
      </c>
      <c r="I14" s="4">
        <f>22.5/100*6</f>
        <v>1.35</v>
      </c>
      <c r="J14" s="4">
        <v>0</v>
      </c>
      <c r="K14" s="275">
        <f>288/100*6</f>
        <v>17.28</v>
      </c>
      <c r="L14" s="276"/>
      <c r="M14" s="4">
        <v>0</v>
      </c>
      <c r="N14" s="5"/>
    </row>
    <row r="15" spans="1:14" ht="15.75" thickBot="1">
      <c r="A15" s="297"/>
      <c r="B15" s="278" t="s">
        <v>25</v>
      </c>
      <c r="C15" s="279"/>
      <c r="D15" s="279"/>
      <c r="E15" s="261"/>
      <c r="F15" s="262"/>
      <c r="G15" s="266">
        <v>180</v>
      </c>
      <c r="H15" s="257"/>
      <c r="I15" s="257"/>
      <c r="J15" s="257"/>
      <c r="K15" s="7"/>
      <c r="L15" s="8"/>
      <c r="M15" s="257"/>
      <c r="N15" s="266">
        <v>393</v>
      </c>
    </row>
    <row r="16" spans="1:14" ht="15.75" thickBot="1">
      <c r="A16" s="297"/>
      <c r="B16" s="280" t="s">
        <v>26</v>
      </c>
      <c r="C16" s="281"/>
      <c r="D16" s="281"/>
      <c r="E16" s="257">
        <v>0.6</v>
      </c>
      <c r="F16" s="257">
        <v>0.6</v>
      </c>
      <c r="G16" s="266"/>
      <c r="H16" s="3">
        <f>20/100*0.6</f>
        <v>0.12</v>
      </c>
      <c r="I16" s="3">
        <v>0</v>
      </c>
      <c r="J16" s="3">
        <f>6.9/100*0.6</f>
        <v>4.1399999999999999E-2</v>
      </c>
      <c r="K16" s="275">
        <f>109/100*0.6</f>
        <v>0.65400000000000003</v>
      </c>
      <c r="L16" s="276"/>
      <c r="M16" s="3">
        <v>0</v>
      </c>
      <c r="N16" s="5"/>
    </row>
    <row r="17" spans="1:14" ht="15.75" thickBot="1">
      <c r="A17" s="297"/>
      <c r="B17" s="280" t="s">
        <v>27</v>
      </c>
      <c r="C17" s="281"/>
      <c r="D17" s="281"/>
      <c r="E17" s="257">
        <v>3</v>
      </c>
      <c r="F17" s="257">
        <v>3</v>
      </c>
      <c r="G17" s="266"/>
      <c r="H17" s="3">
        <f>0.3/100*3</f>
        <v>9.0000000000000011E-3</v>
      </c>
      <c r="I17" s="3">
        <v>0</v>
      </c>
      <c r="J17" s="3">
        <f>4.6/100*3</f>
        <v>0.13800000000000001</v>
      </c>
      <c r="K17" s="268">
        <f>20/100*3</f>
        <v>0.60000000000000009</v>
      </c>
      <c r="L17" s="271"/>
      <c r="M17" s="3">
        <f>20/100*3</f>
        <v>0.60000000000000009</v>
      </c>
      <c r="N17" s="5"/>
    </row>
    <row r="18" spans="1:14" ht="15.75" thickBot="1">
      <c r="A18" s="306"/>
      <c r="B18" s="280" t="s">
        <v>24</v>
      </c>
      <c r="C18" s="281"/>
      <c r="D18" s="281"/>
      <c r="E18" s="257">
        <v>8</v>
      </c>
      <c r="F18" s="257">
        <v>8</v>
      </c>
      <c r="G18" s="266"/>
      <c r="H18" s="3">
        <v>0</v>
      </c>
      <c r="I18" s="3">
        <v>0</v>
      </c>
      <c r="J18" s="3">
        <v>8</v>
      </c>
      <c r="K18" s="275">
        <v>32</v>
      </c>
      <c r="L18" s="259"/>
      <c r="M18" s="3">
        <v>0</v>
      </c>
      <c r="N18" s="5"/>
    </row>
    <row r="19" spans="1:14" ht="15.75" thickBot="1">
      <c r="A19" s="62"/>
      <c r="B19" s="278" t="s">
        <v>200</v>
      </c>
      <c r="C19" s="279"/>
      <c r="D19" s="279"/>
      <c r="E19" s="279"/>
      <c r="F19" s="298"/>
      <c r="G19" s="66">
        <v>60</v>
      </c>
      <c r="H19" s="3"/>
      <c r="I19" s="3"/>
      <c r="J19" s="3"/>
      <c r="K19" s="285"/>
      <c r="L19" s="286"/>
      <c r="M19" s="3"/>
      <c r="N19" s="5"/>
    </row>
    <row r="20" spans="1:14" ht="15.75" thickBot="1">
      <c r="A20" s="62"/>
      <c r="B20" s="277" t="s">
        <v>33</v>
      </c>
      <c r="C20" s="277"/>
      <c r="D20" s="277"/>
      <c r="E20" s="15">
        <v>26</v>
      </c>
      <c r="F20" s="15">
        <v>20</v>
      </c>
      <c r="G20" s="73"/>
      <c r="H20" s="3">
        <f>1.2/100*20</f>
        <v>0.24</v>
      </c>
      <c r="I20" s="3">
        <v>0</v>
      </c>
      <c r="J20" s="3">
        <f>14/100*20</f>
        <v>2.8000000000000003</v>
      </c>
      <c r="K20" s="275">
        <f>62/100*20</f>
        <v>12.4</v>
      </c>
      <c r="L20" s="259"/>
      <c r="M20" s="3">
        <f>7.5/100*20</f>
        <v>1.5</v>
      </c>
      <c r="N20" s="5"/>
    </row>
    <row r="21" spans="1:14" ht="15.75" thickBot="1">
      <c r="A21" s="62"/>
      <c r="B21" s="277" t="s">
        <v>35</v>
      </c>
      <c r="C21" s="277"/>
      <c r="D21" s="277"/>
      <c r="E21" s="15">
        <v>12</v>
      </c>
      <c r="F21" s="15">
        <v>10</v>
      </c>
      <c r="G21" s="73"/>
      <c r="H21" s="3">
        <f>1/100*10</f>
        <v>0.1</v>
      </c>
      <c r="I21" s="3">
        <v>0</v>
      </c>
      <c r="J21" s="3">
        <f>6.1/100*10</f>
        <v>0.61</v>
      </c>
      <c r="K21" s="268">
        <f>29/100*10</f>
        <v>2.9</v>
      </c>
      <c r="L21" s="271"/>
      <c r="M21" s="3">
        <f>4/100*10</f>
        <v>0.4</v>
      </c>
      <c r="N21" s="5"/>
    </row>
    <row r="22" spans="1:14" ht="15.75" thickBot="1">
      <c r="A22" s="62"/>
      <c r="B22" s="277" t="s">
        <v>125</v>
      </c>
      <c r="C22" s="277"/>
      <c r="D22" s="277"/>
      <c r="E22" s="15">
        <v>2</v>
      </c>
      <c r="F22" s="15">
        <v>2</v>
      </c>
      <c r="G22" s="73"/>
      <c r="H22" s="3">
        <f>0.8/100*2</f>
        <v>1.6E-2</v>
      </c>
      <c r="I22" s="3">
        <v>0</v>
      </c>
      <c r="J22" s="3">
        <f>3.3/100*2</f>
        <v>6.6000000000000003E-2</v>
      </c>
      <c r="K22" s="268">
        <f>17/100*2</f>
        <v>0.34</v>
      </c>
      <c r="L22" s="271"/>
      <c r="M22" s="3">
        <f>48/100*2</f>
        <v>0.96</v>
      </c>
      <c r="N22" s="5"/>
    </row>
    <row r="23" spans="1:14" ht="15.75" thickBot="1">
      <c r="A23" s="62"/>
      <c r="B23" s="277" t="s">
        <v>223</v>
      </c>
      <c r="C23" s="277"/>
      <c r="D23" s="277"/>
      <c r="E23" s="15">
        <v>28</v>
      </c>
      <c r="F23" s="15">
        <v>15</v>
      </c>
      <c r="G23" s="73"/>
      <c r="H23" s="3">
        <f>18.2/100*15</f>
        <v>2.73</v>
      </c>
      <c r="I23" s="3">
        <f>18.4/100*15</f>
        <v>2.76</v>
      </c>
      <c r="J23" s="3">
        <f>0.7/100*15</f>
        <v>0.10499999999999998</v>
      </c>
      <c r="K23" s="268">
        <f>241/100*15</f>
        <v>36.150000000000006</v>
      </c>
      <c r="L23" s="271"/>
      <c r="M23" s="3">
        <v>0</v>
      </c>
      <c r="N23" s="5"/>
    </row>
    <row r="24" spans="1:14" ht="15.75" thickBot="1">
      <c r="A24" s="62"/>
      <c r="B24" s="277" t="s">
        <v>219</v>
      </c>
      <c r="C24" s="277"/>
      <c r="D24" s="277"/>
      <c r="E24" s="15">
        <v>12</v>
      </c>
      <c r="F24" s="15">
        <v>12</v>
      </c>
      <c r="G24" s="73"/>
      <c r="H24" s="3">
        <f>2.2/100*12</f>
        <v>0.26400000000000001</v>
      </c>
      <c r="I24" s="3">
        <v>0</v>
      </c>
      <c r="J24" s="3">
        <f>11.2/100*12</f>
        <v>1.3439999999999999</v>
      </c>
      <c r="K24" s="268">
        <f>58/100*12</f>
        <v>6.9599999999999991</v>
      </c>
      <c r="L24" s="271"/>
      <c r="M24" s="3">
        <v>0</v>
      </c>
      <c r="N24" s="5"/>
    </row>
    <row r="25" spans="1:14" ht="15.75" thickBot="1">
      <c r="A25" s="62"/>
      <c r="B25" s="280" t="s">
        <v>198</v>
      </c>
      <c r="C25" s="281"/>
      <c r="D25" s="281"/>
      <c r="E25" s="15">
        <v>10</v>
      </c>
      <c r="F25" s="15">
        <v>10</v>
      </c>
      <c r="G25" s="73"/>
      <c r="H25" s="3">
        <f>12.7/100*10</f>
        <v>1.27</v>
      </c>
      <c r="I25" s="3">
        <f>11.5/100*10</f>
        <v>1.1500000000000001</v>
      </c>
      <c r="J25" s="3">
        <f>0.7/100*10</f>
        <v>6.9999999999999993E-2</v>
      </c>
      <c r="K25" s="268">
        <f>241/100*10</f>
        <v>24.1</v>
      </c>
      <c r="L25" s="271"/>
      <c r="M25" s="3">
        <v>0</v>
      </c>
      <c r="N25" s="5"/>
    </row>
    <row r="26" spans="1:14" ht="15.75" thickBot="1">
      <c r="A26" s="62"/>
      <c r="B26" s="260"/>
      <c r="C26" s="261" t="s">
        <v>226</v>
      </c>
      <c r="D26" s="261"/>
      <c r="E26" s="15">
        <v>17</v>
      </c>
      <c r="F26" s="15">
        <v>17</v>
      </c>
      <c r="G26" s="73"/>
      <c r="H26" s="3">
        <v>0.09</v>
      </c>
      <c r="I26" s="3">
        <f>18.4/100*15</f>
        <v>2.76</v>
      </c>
      <c r="J26" s="3">
        <v>0.17</v>
      </c>
      <c r="K26" s="268">
        <v>1.05</v>
      </c>
      <c r="L26" s="271"/>
      <c r="M26" s="3">
        <v>0</v>
      </c>
      <c r="N26" s="5"/>
    </row>
    <row r="27" spans="1:14" ht="15.75" thickBot="1">
      <c r="A27" s="135" t="s">
        <v>5</v>
      </c>
      <c r="B27" s="277" t="s">
        <v>211</v>
      </c>
      <c r="C27" s="277"/>
      <c r="D27" s="277"/>
      <c r="E27" s="15">
        <v>3</v>
      </c>
      <c r="F27" s="15">
        <v>3</v>
      </c>
      <c r="G27" s="73"/>
      <c r="H27" s="1">
        <v>0</v>
      </c>
      <c r="I27" s="1">
        <f>99.9/100*3</f>
        <v>2.9970000000000003</v>
      </c>
      <c r="J27" s="1">
        <v>0</v>
      </c>
      <c r="K27" s="275">
        <f>900/100*3</f>
        <v>27</v>
      </c>
      <c r="L27" s="259"/>
      <c r="M27" s="1">
        <v>0</v>
      </c>
      <c r="N27" s="5"/>
    </row>
    <row r="28" spans="1:14" ht="15.75" thickBot="1">
      <c r="A28" s="62"/>
      <c r="B28" s="278" t="s">
        <v>151</v>
      </c>
      <c r="C28" s="279"/>
      <c r="D28" s="279"/>
      <c r="E28" s="279"/>
      <c r="F28" s="298"/>
      <c r="G28" s="137">
        <v>250</v>
      </c>
      <c r="H28" s="3"/>
      <c r="I28" s="3"/>
      <c r="J28" s="3"/>
      <c r="K28" s="287"/>
      <c r="L28" s="288"/>
      <c r="M28" s="3"/>
      <c r="N28" s="5"/>
    </row>
    <row r="29" spans="1:14" ht="15.75" thickBot="1">
      <c r="A29" s="62"/>
      <c r="B29" s="280" t="s">
        <v>233</v>
      </c>
      <c r="C29" s="281"/>
      <c r="D29" s="282"/>
      <c r="E29" s="257">
        <v>7</v>
      </c>
      <c r="F29" s="257">
        <v>7</v>
      </c>
      <c r="G29" s="142"/>
      <c r="H29" s="4">
        <f>9.3/100*7</f>
        <v>0.65100000000000013</v>
      </c>
      <c r="I29" s="4">
        <f>1.1/100*7</f>
        <v>7.7000000000000013E-2</v>
      </c>
      <c r="J29" s="4">
        <f>63/100*7</f>
        <v>4.41</v>
      </c>
      <c r="K29" s="275">
        <f>320/100*7</f>
        <v>22.400000000000002</v>
      </c>
      <c r="L29" s="259"/>
      <c r="M29" s="4">
        <v>0</v>
      </c>
      <c r="N29" s="68"/>
    </row>
    <row r="30" spans="1:14" ht="15.75" thickBot="1">
      <c r="A30" s="297"/>
      <c r="B30" s="277" t="s">
        <v>28</v>
      </c>
      <c r="C30" s="277"/>
      <c r="D30" s="277"/>
      <c r="E30" s="257">
        <v>20</v>
      </c>
      <c r="F30" s="257">
        <v>20</v>
      </c>
      <c r="G30" s="142"/>
      <c r="H30" s="4">
        <f>18.9/100*20</f>
        <v>3.7799999999999994</v>
      </c>
      <c r="I30" s="4">
        <f>12.4/100*20</f>
        <v>2.48</v>
      </c>
      <c r="J30" s="4">
        <v>0</v>
      </c>
      <c r="K30" s="275">
        <f>187/100*20</f>
        <v>37.400000000000006</v>
      </c>
      <c r="L30" s="259"/>
      <c r="M30" s="4">
        <v>0</v>
      </c>
      <c r="N30" s="68"/>
    </row>
    <row r="31" spans="1:14" ht="15.75" thickBot="1">
      <c r="A31" s="297"/>
      <c r="B31" s="277" t="s">
        <v>33</v>
      </c>
      <c r="C31" s="277"/>
      <c r="D31" s="277"/>
      <c r="E31" s="257">
        <v>100</v>
      </c>
      <c r="F31" s="257">
        <v>70</v>
      </c>
      <c r="G31" s="142"/>
      <c r="H31" s="4">
        <f>1.2/100*70</f>
        <v>0.84</v>
      </c>
      <c r="I31" s="4">
        <v>0</v>
      </c>
      <c r="J31" s="4">
        <f>14/100*70</f>
        <v>9.8000000000000007</v>
      </c>
      <c r="K31" s="268">
        <f>62/100*70</f>
        <v>43.4</v>
      </c>
      <c r="L31" s="271"/>
      <c r="M31" s="4">
        <f>7.5/100*70</f>
        <v>5.25</v>
      </c>
      <c r="N31" s="68"/>
    </row>
    <row r="32" spans="1:14" ht="15.75" thickBot="1">
      <c r="A32" s="297"/>
      <c r="B32" s="277" t="s">
        <v>34</v>
      </c>
      <c r="C32" s="277"/>
      <c r="D32" s="277"/>
      <c r="E32" s="257">
        <v>7</v>
      </c>
      <c r="F32" s="257">
        <v>5</v>
      </c>
      <c r="G32" s="142"/>
      <c r="H32" s="4">
        <f>0.2/100*5</f>
        <v>0.01</v>
      </c>
      <c r="I32" s="4">
        <v>0</v>
      </c>
      <c r="J32" s="4">
        <f>10/100*5</f>
        <v>0.5</v>
      </c>
      <c r="K32" s="268">
        <f>42/100*5</f>
        <v>2.1</v>
      </c>
      <c r="L32" s="271"/>
      <c r="M32" s="4">
        <f>8.5/100*5</f>
        <v>0.42500000000000004</v>
      </c>
      <c r="N32" s="68"/>
    </row>
    <row r="33" spans="1:18" ht="15.75" thickBot="1">
      <c r="A33" s="297"/>
      <c r="B33" s="277" t="s">
        <v>35</v>
      </c>
      <c r="C33" s="277"/>
      <c r="D33" s="277"/>
      <c r="E33" s="257">
        <v>7</v>
      </c>
      <c r="F33" s="257">
        <v>5</v>
      </c>
      <c r="G33" s="142"/>
      <c r="H33" s="4">
        <f>1/100*5</f>
        <v>0.05</v>
      </c>
      <c r="I33" s="4">
        <v>0</v>
      </c>
      <c r="J33" s="4">
        <f>6.1/100*5</f>
        <v>0.30499999999999999</v>
      </c>
      <c r="K33" s="268">
        <f>29/100*5</f>
        <v>1.45</v>
      </c>
      <c r="L33" s="271"/>
      <c r="M33" s="4">
        <f>4/100*5</f>
        <v>0.2</v>
      </c>
      <c r="N33" s="68"/>
    </row>
    <row r="34" spans="1:18" ht="15.75" thickBot="1">
      <c r="A34" s="297"/>
      <c r="B34" s="280" t="s">
        <v>23</v>
      </c>
      <c r="C34" s="281"/>
      <c r="D34" s="281"/>
      <c r="E34" s="257">
        <v>2</v>
      </c>
      <c r="F34" s="257">
        <v>2</v>
      </c>
      <c r="G34" s="142"/>
      <c r="H34" s="4">
        <f>0.4/100*2</f>
        <v>8.0000000000000002E-3</v>
      </c>
      <c r="I34" s="4">
        <f>78.5/100*2</f>
        <v>1.57</v>
      </c>
      <c r="J34" s="4">
        <f>0.5/100*2</f>
        <v>0.01</v>
      </c>
      <c r="K34" s="268">
        <f>734/100*2</f>
        <v>14.68</v>
      </c>
      <c r="L34" s="271"/>
      <c r="M34" s="4">
        <f>0.6/100*2</f>
        <v>1.2E-2</v>
      </c>
      <c r="N34" s="68"/>
    </row>
    <row r="35" spans="1:18" ht="15.75" thickBot="1">
      <c r="A35" s="297"/>
      <c r="B35" s="277" t="s">
        <v>36</v>
      </c>
      <c r="C35" s="277"/>
      <c r="D35" s="277"/>
      <c r="E35" s="257">
        <v>2</v>
      </c>
      <c r="F35" s="257">
        <v>2</v>
      </c>
      <c r="G35" s="142"/>
      <c r="H35" s="4">
        <v>0</v>
      </c>
      <c r="I35" s="4">
        <f>99.9/100*2</f>
        <v>1.9980000000000002</v>
      </c>
      <c r="J35" s="4">
        <v>0</v>
      </c>
      <c r="K35" s="268">
        <f>900/100*2</f>
        <v>18</v>
      </c>
      <c r="L35" s="271"/>
      <c r="M35" s="4">
        <v>0</v>
      </c>
      <c r="N35" s="68"/>
    </row>
    <row r="36" spans="1:18" ht="15.75" thickBot="1">
      <c r="A36" s="297"/>
      <c r="B36" s="277" t="s">
        <v>37</v>
      </c>
      <c r="C36" s="277"/>
      <c r="D36" s="277"/>
      <c r="E36" s="257">
        <v>6</v>
      </c>
      <c r="F36" s="257">
        <v>6</v>
      </c>
      <c r="G36" s="142"/>
      <c r="H36" s="4">
        <f>2.6/100*6</f>
        <v>0.15600000000000003</v>
      </c>
      <c r="I36" s="4">
        <f>15/100*6</f>
        <v>0.89999999999999991</v>
      </c>
      <c r="J36" s="4">
        <f>3.6/100*6</f>
        <v>0.21600000000000003</v>
      </c>
      <c r="K36" s="275">
        <f>160/100*6</f>
        <v>9.6000000000000014</v>
      </c>
      <c r="L36" s="259"/>
      <c r="M36" s="4">
        <v>0</v>
      </c>
      <c r="N36" s="68"/>
    </row>
    <row r="37" spans="1:18" ht="15.75" thickBot="1">
      <c r="A37" s="297"/>
      <c r="B37" s="278" t="s">
        <v>165</v>
      </c>
      <c r="C37" s="279"/>
      <c r="D37" s="279"/>
      <c r="E37" s="220"/>
      <c r="F37" s="21"/>
      <c r="G37" s="137">
        <v>150</v>
      </c>
      <c r="H37" s="3"/>
      <c r="I37" s="3"/>
      <c r="J37" s="3"/>
      <c r="K37" s="275"/>
      <c r="L37" s="276"/>
      <c r="M37" s="3"/>
      <c r="N37" s="5"/>
    </row>
    <row r="38" spans="1:18" ht="15.75" thickBot="1">
      <c r="A38" s="297"/>
      <c r="B38" s="277" t="s">
        <v>46</v>
      </c>
      <c r="C38" s="277"/>
      <c r="D38" s="277"/>
      <c r="E38" s="15">
        <v>20</v>
      </c>
      <c r="F38" s="15">
        <v>20</v>
      </c>
      <c r="G38" s="3"/>
      <c r="H38" s="257">
        <f>2.8/100*50</f>
        <v>1.4</v>
      </c>
      <c r="I38" s="257">
        <f>2.5/100*50</f>
        <v>1.25</v>
      </c>
      <c r="J38" s="257">
        <f>4.7/100*50</f>
        <v>2.35</v>
      </c>
      <c r="K38" s="89">
        <f>55/100*50</f>
        <v>27.500000000000004</v>
      </c>
      <c r="L38" s="90"/>
      <c r="M38" s="257">
        <f>1/100*50</f>
        <v>0.5</v>
      </c>
      <c r="N38" s="5"/>
    </row>
    <row r="39" spans="1:18" ht="15.75" thickBot="1">
      <c r="A39" s="297"/>
      <c r="B39" s="280" t="s">
        <v>58</v>
      </c>
      <c r="C39" s="283"/>
      <c r="D39" s="284"/>
      <c r="E39" s="15">
        <v>50</v>
      </c>
      <c r="F39" s="15">
        <v>50</v>
      </c>
      <c r="G39" s="5"/>
      <c r="H39" s="3">
        <f>10.3/100*50</f>
        <v>5.15</v>
      </c>
      <c r="I39" s="3">
        <f>1.1/100*50</f>
        <v>0.55000000000000004</v>
      </c>
      <c r="J39" s="3">
        <f>70.6/100*50</f>
        <v>35.299999999999997</v>
      </c>
      <c r="K39" s="268">
        <f>334/100*50</f>
        <v>167</v>
      </c>
      <c r="L39" s="269"/>
      <c r="M39" s="3">
        <v>0</v>
      </c>
      <c r="N39" s="5"/>
    </row>
    <row r="40" spans="1:18" ht="15.75" thickBot="1">
      <c r="A40" s="297"/>
      <c r="B40" s="280" t="s">
        <v>48</v>
      </c>
      <c r="C40" s="283"/>
      <c r="D40" s="284"/>
      <c r="E40" s="15">
        <v>3</v>
      </c>
      <c r="F40" s="15">
        <v>3</v>
      </c>
      <c r="G40" s="3"/>
      <c r="H40" s="3">
        <f>0.4/100*3</f>
        <v>1.2E-2</v>
      </c>
      <c r="I40" s="3">
        <f>78.5/100*3</f>
        <v>2.355</v>
      </c>
      <c r="J40" s="3">
        <f>0.5/100*3</f>
        <v>1.4999999999999999E-2</v>
      </c>
      <c r="K40" s="275">
        <f>734/100*3</f>
        <v>22.02</v>
      </c>
      <c r="L40" s="276"/>
      <c r="M40" s="3">
        <v>0</v>
      </c>
      <c r="N40" s="5"/>
    </row>
    <row r="41" spans="1:18" ht="15.75" thickBot="1">
      <c r="A41" s="297"/>
      <c r="B41" s="280" t="s">
        <v>60</v>
      </c>
      <c r="C41" s="281"/>
      <c r="D41" s="281"/>
      <c r="E41" s="15">
        <v>6</v>
      </c>
      <c r="F41" s="15">
        <v>6</v>
      </c>
      <c r="G41" s="5"/>
      <c r="H41" s="1">
        <v>0</v>
      </c>
      <c r="I41" s="1">
        <f>99.9/100*6</f>
        <v>5.9940000000000007</v>
      </c>
      <c r="J41" s="1">
        <v>0</v>
      </c>
      <c r="K41" s="275">
        <f>900/100*6</f>
        <v>54</v>
      </c>
      <c r="L41" s="276"/>
      <c r="M41" s="1">
        <v>0</v>
      </c>
      <c r="N41" s="5"/>
    </row>
    <row r="42" spans="1:18" ht="15.75" thickBot="1">
      <c r="A42" s="297"/>
      <c r="B42" s="280" t="s">
        <v>59</v>
      </c>
      <c r="C42" s="283"/>
      <c r="D42" s="284"/>
      <c r="E42" s="15">
        <v>1</v>
      </c>
      <c r="F42" s="15">
        <v>1</v>
      </c>
      <c r="G42" s="5"/>
      <c r="H42" s="3">
        <f>12.5/100*1</f>
        <v>0.125</v>
      </c>
      <c r="I42" s="3">
        <f>0.4/100*1</f>
        <v>4.0000000000000001E-3</v>
      </c>
      <c r="J42" s="3">
        <f>8.3/100*1</f>
        <v>8.3000000000000004E-2</v>
      </c>
      <c r="K42" s="268">
        <f>85/100*1</f>
        <v>0.85</v>
      </c>
      <c r="L42" s="269"/>
      <c r="M42" s="3">
        <v>0</v>
      </c>
      <c r="N42" s="5"/>
    </row>
    <row r="43" spans="1:18" ht="15.75" thickBot="1">
      <c r="A43" s="297"/>
      <c r="B43" s="277" t="s">
        <v>50</v>
      </c>
      <c r="C43" s="277"/>
      <c r="D43" s="277"/>
      <c r="E43" s="15">
        <v>5</v>
      </c>
      <c r="F43" s="15">
        <v>5</v>
      </c>
      <c r="G43" s="3"/>
      <c r="H43" s="3">
        <f>12.7/100*5</f>
        <v>0.63500000000000001</v>
      </c>
      <c r="I43" s="3">
        <f>11.5/100*5</f>
        <v>0.57500000000000007</v>
      </c>
      <c r="J43" s="3">
        <f>0.7/100*5</f>
        <v>3.4999999999999996E-2</v>
      </c>
      <c r="K43" s="268">
        <f>241/100*5</f>
        <v>12.05</v>
      </c>
      <c r="L43" s="269"/>
      <c r="M43" s="3">
        <v>0</v>
      </c>
      <c r="N43" s="5"/>
    </row>
    <row r="44" spans="1:18" ht="15.75" thickBot="1">
      <c r="A44" s="297"/>
      <c r="B44" s="274"/>
      <c r="C44" s="261" t="s">
        <v>53</v>
      </c>
      <c r="D44" s="265"/>
      <c r="E44" s="15">
        <v>65</v>
      </c>
      <c r="F44" s="15">
        <v>50</v>
      </c>
      <c r="G44" s="5"/>
      <c r="H44" s="3">
        <f>1.2/100*50</f>
        <v>0.6</v>
      </c>
      <c r="I44" s="3">
        <v>0</v>
      </c>
      <c r="J44" s="3">
        <f>4.1/100*50</f>
        <v>2.0499999999999998</v>
      </c>
      <c r="K44" s="268">
        <f>22/100*50</f>
        <v>11</v>
      </c>
      <c r="L44" s="269"/>
      <c r="M44" s="3">
        <f>24/100*50</f>
        <v>12</v>
      </c>
      <c r="N44" s="5"/>
    </row>
    <row r="45" spans="1:18" ht="15.75" thickBot="1">
      <c r="A45" s="297"/>
      <c r="B45" s="277" t="s">
        <v>54</v>
      </c>
      <c r="C45" s="277"/>
      <c r="D45" s="277"/>
      <c r="E45" s="15">
        <v>12</v>
      </c>
      <c r="F45" s="15">
        <v>10</v>
      </c>
      <c r="G45" s="3"/>
      <c r="H45" s="3">
        <f>0.2/100*10</f>
        <v>0.02</v>
      </c>
      <c r="I45" s="3">
        <v>0</v>
      </c>
      <c r="J45" s="3">
        <f>10/100*10</f>
        <v>1</v>
      </c>
      <c r="K45" s="268">
        <f>42/100*10</f>
        <v>4.2</v>
      </c>
      <c r="L45" s="269"/>
      <c r="M45" s="3">
        <f>8.5/100*10</f>
        <v>0.85000000000000009</v>
      </c>
      <c r="N45" s="5"/>
      <c r="Q45" s="25"/>
      <c r="R45" s="25"/>
    </row>
    <row r="46" spans="1:18" ht="15.75" thickBot="1">
      <c r="A46" s="297"/>
      <c r="B46" s="256"/>
      <c r="C46" s="261" t="s">
        <v>55</v>
      </c>
      <c r="D46" s="262"/>
      <c r="E46" s="15">
        <v>16</v>
      </c>
      <c r="F46" s="15">
        <v>10</v>
      </c>
      <c r="G46" s="3"/>
      <c r="H46" s="3">
        <f>1/100*10</f>
        <v>0.1</v>
      </c>
      <c r="I46" s="3">
        <v>0</v>
      </c>
      <c r="J46" s="3">
        <f>6.1/100*10</f>
        <v>0.61</v>
      </c>
      <c r="K46" s="268">
        <f>29/100*10</f>
        <v>2.9</v>
      </c>
      <c r="L46" s="269"/>
      <c r="M46" s="3">
        <f>4/100*10</f>
        <v>0.4</v>
      </c>
      <c r="N46" s="5"/>
    </row>
    <row r="47" spans="1:18" ht="15.75" thickBot="1">
      <c r="A47" s="297"/>
      <c r="B47" s="280" t="s">
        <v>69</v>
      </c>
      <c r="C47" s="283"/>
      <c r="D47" s="284"/>
      <c r="E47" s="15">
        <v>40</v>
      </c>
      <c r="F47" s="15">
        <v>40</v>
      </c>
      <c r="G47" s="5"/>
      <c r="H47" s="3">
        <f>18.9/100*40</f>
        <v>7.5599999999999987</v>
      </c>
      <c r="I47" s="3">
        <f>12.4/100*40</f>
        <v>4.96</v>
      </c>
      <c r="J47" s="3">
        <v>0</v>
      </c>
      <c r="K47" s="275">
        <f>187/100*40</f>
        <v>74.800000000000011</v>
      </c>
      <c r="L47" s="276"/>
      <c r="M47" s="3">
        <v>0</v>
      </c>
      <c r="N47" s="5"/>
    </row>
    <row r="48" spans="1:18" ht="15.75" thickBot="1">
      <c r="A48" s="297"/>
      <c r="B48" s="278" t="s">
        <v>129</v>
      </c>
      <c r="C48" s="279"/>
      <c r="D48" s="279"/>
      <c r="E48" s="220"/>
      <c r="F48" s="21"/>
      <c r="G48" s="66">
        <v>50</v>
      </c>
      <c r="H48" s="3">
        <f>7/100*50</f>
        <v>3.5000000000000004</v>
      </c>
      <c r="I48" s="3">
        <f>1/100*50</f>
        <v>0.5</v>
      </c>
      <c r="J48" s="3">
        <f>46/100*50</f>
        <v>23</v>
      </c>
      <c r="K48" s="287">
        <f>200/100*50</f>
        <v>100</v>
      </c>
      <c r="L48" s="288"/>
      <c r="M48" s="3">
        <v>0</v>
      </c>
      <c r="N48" s="5"/>
    </row>
    <row r="49" spans="1:14" ht="15.75" thickBot="1">
      <c r="A49" s="297"/>
      <c r="B49" s="278" t="s">
        <v>40</v>
      </c>
      <c r="C49" s="279"/>
      <c r="D49" s="279"/>
      <c r="E49" s="220"/>
      <c r="F49" s="21"/>
      <c r="G49" s="66">
        <v>180</v>
      </c>
      <c r="H49" s="3"/>
      <c r="I49" s="3"/>
      <c r="J49" s="3"/>
      <c r="K49" s="270"/>
      <c r="L49" s="271"/>
      <c r="M49" s="3"/>
      <c r="N49" s="5"/>
    </row>
    <row r="50" spans="1:14" ht="15.75" thickBot="1">
      <c r="A50" s="297"/>
      <c r="B50" s="280" t="s">
        <v>57</v>
      </c>
      <c r="C50" s="281"/>
      <c r="D50" s="282"/>
      <c r="E50" s="257">
        <v>11</v>
      </c>
      <c r="F50" s="257">
        <v>16.5</v>
      </c>
      <c r="G50" s="3"/>
      <c r="H50" s="4">
        <f>0.63/100*16.5</f>
        <v>0.10395</v>
      </c>
      <c r="I50" s="4">
        <v>0</v>
      </c>
      <c r="J50" s="4">
        <f>10.06/100*16.5</f>
        <v>1.6599000000000002</v>
      </c>
      <c r="K50" s="275">
        <f>40.87/100*16.5</f>
        <v>6.743549999999999</v>
      </c>
      <c r="L50" s="276"/>
      <c r="M50" s="4">
        <f>0.46/100*16.5</f>
        <v>7.5899999999999995E-2</v>
      </c>
      <c r="N50" s="5"/>
    </row>
    <row r="51" spans="1:14" ht="15.75" thickBot="1">
      <c r="A51" s="297"/>
      <c r="B51" s="280" t="s">
        <v>47</v>
      </c>
      <c r="C51" s="281"/>
      <c r="D51" s="282"/>
      <c r="E51" s="257">
        <v>10</v>
      </c>
      <c r="F51" s="257">
        <v>10</v>
      </c>
      <c r="G51" s="5"/>
      <c r="H51" s="4">
        <v>0</v>
      </c>
      <c r="I51" s="4">
        <v>0</v>
      </c>
      <c r="J51" s="4">
        <f>100/100*10</f>
        <v>10</v>
      </c>
      <c r="K51" s="275">
        <f>400/100*10</f>
        <v>40</v>
      </c>
      <c r="L51" s="276"/>
      <c r="M51" s="4">
        <v>0</v>
      </c>
      <c r="N51" s="5"/>
    </row>
    <row r="52" spans="1:14" ht="15.75" thickBot="1">
      <c r="A52" s="296" t="s">
        <v>6</v>
      </c>
      <c r="B52" s="256" t="s">
        <v>184</v>
      </c>
      <c r="C52" s="13"/>
      <c r="D52" s="13"/>
      <c r="E52" s="220"/>
      <c r="F52" s="21"/>
      <c r="G52" s="66">
        <v>20</v>
      </c>
      <c r="H52" s="4">
        <f>5.5/100*20</f>
        <v>1.1000000000000001</v>
      </c>
      <c r="I52" s="4">
        <f>23/100*20</f>
        <v>4.6000000000000005</v>
      </c>
      <c r="J52" s="4">
        <f>67/100*20</f>
        <v>13.4</v>
      </c>
      <c r="K52" s="275">
        <f>490/100*20</f>
        <v>98</v>
      </c>
      <c r="L52" s="273"/>
      <c r="M52" s="4">
        <v>0</v>
      </c>
      <c r="N52" s="5"/>
    </row>
    <row r="53" spans="1:14" ht="15.75" thickBot="1">
      <c r="A53" s="306"/>
      <c r="B53" s="12" t="s">
        <v>22</v>
      </c>
      <c r="C53" s="13"/>
      <c r="D53" s="13"/>
      <c r="E53" s="15">
        <v>150</v>
      </c>
      <c r="F53" s="15">
        <v>150</v>
      </c>
      <c r="G53" s="66">
        <v>150</v>
      </c>
      <c r="H53" s="3">
        <f>2.6/100*150</f>
        <v>3.9000000000000004</v>
      </c>
      <c r="I53" s="3">
        <f>15/100*150</f>
        <v>22.5</v>
      </c>
      <c r="J53" s="3">
        <f>3.6/100*150</f>
        <v>5.4</v>
      </c>
      <c r="K53" s="275">
        <f>160/100*150</f>
        <v>240</v>
      </c>
      <c r="L53" s="276"/>
      <c r="M53" s="3">
        <f>1/100*150</f>
        <v>1.5</v>
      </c>
      <c r="N53" s="66">
        <v>255</v>
      </c>
    </row>
    <row r="54" spans="1:14" ht="15.75" thickBot="1">
      <c r="A54" s="297" t="s">
        <v>7</v>
      </c>
      <c r="B54" s="12" t="s">
        <v>192</v>
      </c>
      <c r="C54" s="13"/>
      <c r="D54" s="13"/>
      <c r="E54" s="15"/>
      <c r="F54" s="15"/>
      <c r="G54" s="137">
        <v>250</v>
      </c>
      <c r="H54" s="257"/>
      <c r="I54" s="257"/>
      <c r="J54" s="257"/>
      <c r="K54" s="7"/>
      <c r="L54" s="8"/>
      <c r="M54" s="257"/>
      <c r="N54" s="5"/>
    </row>
    <row r="55" spans="1:14" ht="15.75" thickBot="1">
      <c r="A55" s="297"/>
      <c r="B55" s="12"/>
      <c r="C55" s="261" t="s">
        <v>235</v>
      </c>
      <c r="D55" s="13"/>
      <c r="E55" s="15">
        <v>20</v>
      </c>
      <c r="F55" s="15">
        <v>20</v>
      </c>
      <c r="G55" s="142"/>
      <c r="H55" s="3">
        <f>18.9/100*20</f>
        <v>3.7799999999999994</v>
      </c>
      <c r="I55" s="3">
        <v>2.48</v>
      </c>
      <c r="J55" s="3">
        <v>0</v>
      </c>
      <c r="K55" s="275">
        <v>37.4</v>
      </c>
      <c r="L55" s="259"/>
      <c r="M55" s="3">
        <v>0</v>
      </c>
      <c r="N55" s="5"/>
    </row>
    <row r="56" spans="1:14" ht="15.75" thickBot="1">
      <c r="A56" s="297"/>
      <c r="B56" s="12"/>
      <c r="C56" s="220" t="s">
        <v>238</v>
      </c>
      <c r="D56" s="13"/>
      <c r="E56" s="15">
        <v>21</v>
      </c>
      <c r="F56" s="15">
        <v>20</v>
      </c>
      <c r="G56" s="142"/>
      <c r="H56" s="3">
        <f>20.5/100*20</f>
        <v>4.0999999999999996</v>
      </c>
      <c r="I56" s="3">
        <f>2/100*20</f>
        <v>0.4</v>
      </c>
      <c r="J56" s="3">
        <f>44/100*20</f>
        <v>8.8000000000000007</v>
      </c>
      <c r="K56" s="268">
        <f>298/100*20</f>
        <v>59.6</v>
      </c>
      <c r="L56" s="271"/>
      <c r="M56" s="3">
        <f>3.9/100*20</f>
        <v>0.78</v>
      </c>
      <c r="N56" s="5"/>
    </row>
    <row r="57" spans="1:14" ht="15.75" thickBot="1">
      <c r="A57" s="297"/>
      <c r="B57" s="12"/>
      <c r="C57" s="261" t="s">
        <v>33</v>
      </c>
      <c r="D57" s="13"/>
      <c r="E57" s="15">
        <v>100</v>
      </c>
      <c r="F57" s="15">
        <v>87</v>
      </c>
      <c r="G57" s="142"/>
      <c r="H57" s="3">
        <f>1.2/100*87</f>
        <v>1.044</v>
      </c>
      <c r="I57" s="3">
        <v>0</v>
      </c>
      <c r="J57" s="3">
        <f>14/100*87</f>
        <v>12.180000000000001</v>
      </c>
      <c r="K57" s="268">
        <f>62/100*87</f>
        <v>53.94</v>
      </c>
      <c r="L57" s="271"/>
      <c r="M57" s="3">
        <f>7.5/100*87</f>
        <v>6.5249999999999995</v>
      </c>
      <c r="N57" s="5"/>
    </row>
    <row r="58" spans="1:14" ht="15.75" thickBot="1">
      <c r="A58" s="297"/>
      <c r="B58" s="277" t="s">
        <v>209</v>
      </c>
      <c r="C58" s="277"/>
      <c r="D58" s="277"/>
      <c r="E58" s="15">
        <v>7</v>
      </c>
      <c r="F58" s="15">
        <v>5</v>
      </c>
      <c r="G58" s="142"/>
      <c r="H58" s="3">
        <f>0.2/100*5</f>
        <v>0.01</v>
      </c>
      <c r="I58" s="3">
        <v>0</v>
      </c>
      <c r="J58" s="3">
        <f>10/100*5</f>
        <v>0.5</v>
      </c>
      <c r="K58" s="268">
        <f>42/100*5</f>
        <v>2.1</v>
      </c>
      <c r="L58" s="271"/>
      <c r="M58" s="3">
        <f>8.4/100*5</f>
        <v>0.42000000000000004</v>
      </c>
      <c r="N58" s="5"/>
    </row>
    <row r="59" spans="1:14" ht="15.75" thickBot="1">
      <c r="A59" s="297"/>
      <c r="B59" s="280" t="s">
        <v>35</v>
      </c>
      <c r="C59" s="281"/>
      <c r="D59" s="281"/>
      <c r="E59" s="15">
        <v>7</v>
      </c>
      <c r="F59" s="15">
        <v>5</v>
      </c>
      <c r="G59" s="142"/>
      <c r="H59" s="3">
        <f>1/100*5</f>
        <v>0.05</v>
      </c>
      <c r="I59" s="3">
        <v>0</v>
      </c>
      <c r="J59" s="3">
        <f>6.1/100*5</f>
        <v>0.30499999999999999</v>
      </c>
      <c r="K59" s="268">
        <f>29/100*5</f>
        <v>1.45</v>
      </c>
      <c r="L59" s="271"/>
      <c r="M59" s="3">
        <f>4/100*5</f>
        <v>0.2</v>
      </c>
      <c r="N59" s="5"/>
    </row>
    <row r="60" spans="1:14" ht="15.75" thickBot="1">
      <c r="A60" s="297"/>
      <c r="B60" s="280" t="s">
        <v>23</v>
      </c>
      <c r="C60" s="283"/>
      <c r="D60" s="284"/>
      <c r="E60" s="15">
        <v>2</v>
      </c>
      <c r="F60" s="15">
        <v>2</v>
      </c>
      <c r="G60" s="142"/>
      <c r="H60" s="3">
        <f>0.4/100*2</f>
        <v>8.0000000000000002E-3</v>
      </c>
      <c r="I60" s="3">
        <f>78.5/100*2</f>
        <v>1.57</v>
      </c>
      <c r="J60" s="3">
        <f>0.5/100*2</f>
        <v>0.01</v>
      </c>
      <c r="K60" s="275">
        <f>734/100*2</f>
        <v>14.68</v>
      </c>
      <c r="L60" s="276"/>
      <c r="M60" s="3">
        <v>0</v>
      </c>
      <c r="N60" s="5"/>
    </row>
    <row r="61" spans="1:14" ht="15.75" thickBot="1">
      <c r="A61" s="297"/>
      <c r="B61" s="277" t="s">
        <v>211</v>
      </c>
      <c r="C61" s="277"/>
      <c r="D61" s="277"/>
      <c r="E61" s="15">
        <v>2</v>
      </c>
      <c r="F61" s="15">
        <v>2</v>
      </c>
      <c r="G61" s="142"/>
      <c r="H61" s="1">
        <v>0</v>
      </c>
      <c r="I61" s="1">
        <f>99.9/100*2</f>
        <v>1.9980000000000002</v>
      </c>
      <c r="J61" s="1">
        <v>0</v>
      </c>
      <c r="K61" s="275">
        <f>900/100*2</f>
        <v>18</v>
      </c>
      <c r="L61" s="276"/>
      <c r="M61" s="1">
        <v>0</v>
      </c>
      <c r="N61" s="5"/>
    </row>
    <row r="62" spans="1:14" ht="15.75" thickBot="1">
      <c r="A62" s="297"/>
      <c r="B62" s="277" t="s">
        <v>37</v>
      </c>
      <c r="C62" s="277"/>
      <c r="D62" s="277"/>
      <c r="E62" s="15">
        <v>4</v>
      </c>
      <c r="F62" s="15">
        <v>4</v>
      </c>
      <c r="G62" s="142"/>
      <c r="H62" s="1">
        <f>2.6/100*4</f>
        <v>0.10400000000000001</v>
      </c>
      <c r="I62" s="1">
        <f>15/100*4</f>
        <v>0.6</v>
      </c>
      <c r="J62" s="1">
        <f>3.6/100*4</f>
        <v>0.14400000000000002</v>
      </c>
      <c r="K62" s="275">
        <f>160/100*4</f>
        <v>6.4</v>
      </c>
      <c r="L62" s="259"/>
      <c r="M62" s="1">
        <v>0</v>
      </c>
      <c r="N62" s="5"/>
    </row>
    <row r="63" spans="1:14" ht="15.75" thickBot="1">
      <c r="A63" s="297"/>
      <c r="B63" s="278" t="s">
        <v>193</v>
      </c>
      <c r="C63" s="279"/>
      <c r="D63" s="298"/>
      <c r="E63" s="15">
        <v>30</v>
      </c>
      <c r="F63" s="15"/>
      <c r="G63" s="137">
        <v>20</v>
      </c>
      <c r="H63" s="3">
        <f>7/100*20</f>
        <v>1.4000000000000001</v>
      </c>
      <c r="I63" s="3">
        <f>1/100*20</f>
        <v>0.2</v>
      </c>
      <c r="J63" s="3">
        <f>47/100*20</f>
        <v>9.3999999999999986</v>
      </c>
      <c r="K63" s="275">
        <f>230/100*20</f>
        <v>46</v>
      </c>
      <c r="L63" s="259"/>
      <c r="M63" s="3">
        <v>0</v>
      </c>
      <c r="N63" s="5"/>
    </row>
    <row r="64" spans="1:14" ht="15.75" thickBot="1">
      <c r="A64" s="297"/>
      <c r="B64" s="278" t="s">
        <v>44</v>
      </c>
      <c r="C64" s="279"/>
      <c r="D64" s="279"/>
      <c r="E64" s="220"/>
      <c r="F64" s="21"/>
      <c r="G64" s="137">
        <v>180</v>
      </c>
      <c r="H64" s="3"/>
      <c r="I64" s="3"/>
      <c r="J64" s="3"/>
      <c r="K64" s="307"/>
      <c r="L64" s="308"/>
      <c r="M64" s="3"/>
      <c r="N64" s="66">
        <v>263</v>
      </c>
    </row>
    <row r="65" spans="1:14" ht="15.75" thickBot="1">
      <c r="A65" s="297"/>
      <c r="B65" s="277" t="s">
        <v>210</v>
      </c>
      <c r="C65" s="277"/>
      <c r="D65" s="277"/>
      <c r="E65" s="257">
        <v>0.6</v>
      </c>
      <c r="F65" s="257">
        <v>0.6</v>
      </c>
      <c r="G65" s="257"/>
      <c r="H65" s="4">
        <f>20/100*0.6</f>
        <v>0.12</v>
      </c>
      <c r="I65" s="4">
        <v>0</v>
      </c>
      <c r="J65" s="4">
        <f>6.9/100*0.6</f>
        <v>4.1399999999999999E-2</v>
      </c>
      <c r="K65" s="275">
        <f>109/100*0.6</f>
        <v>0.65400000000000003</v>
      </c>
      <c r="L65" s="276"/>
      <c r="M65" s="4">
        <f>10/100*0.6</f>
        <v>0.06</v>
      </c>
      <c r="N65" s="257"/>
    </row>
    <row r="66" spans="1:14" ht="15.75" thickBot="1">
      <c r="A66" s="306"/>
      <c r="B66" s="280" t="s">
        <v>24</v>
      </c>
      <c r="C66" s="281"/>
      <c r="D66" s="281"/>
      <c r="E66" s="257">
        <v>8</v>
      </c>
      <c r="F66" s="257">
        <v>8</v>
      </c>
      <c r="G66" s="266"/>
      <c r="H66" s="3">
        <v>0</v>
      </c>
      <c r="I66" s="3">
        <v>0</v>
      </c>
      <c r="J66" s="3">
        <v>8</v>
      </c>
      <c r="K66" s="275">
        <v>32</v>
      </c>
      <c r="L66" s="259"/>
      <c r="M66" s="3">
        <v>0</v>
      </c>
      <c r="N66" s="5"/>
    </row>
    <row r="67" spans="1:14">
      <c r="H67" s="37">
        <f t="shared" ref="H67:M67" si="0">SUM(H7:H66)</f>
        <v>55.875949999999982</v>
      </c>
      <c r="I67" s="37">
        <f t="shared" si="0"/>
        <v>77.313000000000017</v>
      </c>
      <c r="J67" s="37">
        <f t="shared" si="0"/>
        <v>209.06370000000004</v>
      </c>
      <c r="K67" s="37">
        <f t="shared" si="0"/>
        <v>1753.25155</v>
      </c>
      <c r="L67" s="37">
        <f t="shared" si="0"/>
        <v>0</v>
      </c>
      <c r="M67" s="37">
        <f t="shared" si="0"/>
        <v>34.187900000000013</v>
      </c>
    </row>
  </sheetData>
  <mergeCells count="68">
    <mergeCell ref="K48:L48"/>
    <mergeCell ref="B66:D66"/>
    <mergeCell ref="B9:D9"/>
    <mergeCell ref="B10:D10"/>
    <mergeCell ref="B28:F28"/>
    <mergeCell ref="K28:L28"/>
    <mergeCell ref="B37:D37"/>
    <mergeCell ref="B35:D35"/>
    <mergeCell ref="B36:D36"/>
    <mergeCell ref="B48:D48"/>
    <mergeCell ref="B62:D62"/>
    <mergeCell ref="B39:D39"/>
    <mergeCell ref="B40:D40"/>
    <mergeCell ref="B42:D42"/>
    <mergeCell ref="B43:D43"/>
    <mergeCell ref="B45:D45"/>
    <mergeCell ref="B20:D20"/>
    <mergeCell ref="B65:D65"/>
    <mergeCell ref="K64:L64"/>
    <mergeCell ref="B64:D64"/>
    <mergeCell ref="B60:D60"/>
    <mergeCell ref="B61:D61"/>
    <mergeCell ref="B59:D59"/>
    <mergeCell ref="B63:D63"/>
    <mergeCell ref="B58:D58"/>
    <mergeCell ref="B34:D34"/>
    <mergeCell ref="B18:D18"/>
    <mergeCell ref="B19:F19"/>
    <mergeCell ref="K19:L19"/>
    <mergeCell ref="B38:D38"/>
    <mergeCell ref="B21:D21"/>
    <mergeCell ref="B22:D22"/>
    <mergeCell ref="B23:D23"/>
    <mergeCell ref="B24:D24"/>
    <mergeCell ref="B25:D25"/>
    <mergeCell ref="B27:D27"/>
    <mergeCell ref="B29:D29"/>
    <mergeCell ref="B33:D33"/>
    <mergeCell ref="B17:D17"/>
    <mergeCell ref="N3:N4"/>
    <mergeCell ref="A6:A18"/>
    <mergeCell ref="B6:F6"/>
    <mergeCell ref="B7:D7"/>
    <mergeCell ref="B8:D8"/>
    <mergeCell ref="B11:D11"/>
    <mergeCell ref="B12:D12"/>
    <mergeCell ref="B13:D13"/>
    <mergeCell ref="B14:D14"/>
    <mergeCell ref="A3:A4"/>
    <mergeCell ref="B3:D4"/>
    <mergeCell ref="E3:F3"/>
    <mergeCell ref="G3:G4"/>
    <mergeCell ref="H3:J3"/>
    <mergeCell ref="K3:L4"/>
    <mergeCell ref="M3:M4"/>
    <mergeCell ref="A54:A66"/>
    <mergeCell ref="B30:D30"/>
    <mergeCell ref="B15:D15"/>
    <mergeCell ref="B16:D16"/>
    <mergeCell ref="A52:A53"/>
    <mergeCell ref="A30:A51"/>
    <mergeCell ref="B31:D31"/>
    <mergeCell ref="B32:D32"/>
    <mergeCell ref="B41:D41"/>
    <mergeCell ref="B47:D47"/>
    <mergeCell ref="B49:D49"/>
    <mergeCell ref="B50:D50"/>
    <mergeCell ref="B51:D51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63"/>
  <sheetViews>
    <sheetView tabSelected="1" topLeftCell="A39" workbookViewId="0">
      <selection activeCell="P60" sqref="P60"/>
    </sheetView>
  </sheetViews>
  <sheetFormatPr defaultRowHeight="15"/>
  <cols>
    <col min="1" max="1" width="13" customWidth="1"/>
    <col min="5" max="9" width="9.28515625" bestFit="1" customWidth="1"/>
    <col min="10" max="11" width="10.42578125" bestFit="1" customWidth="1"/>
    <col min="13" max="13" width="9.28515625" bestFit="1" customWidth="1"/>
  </cols>
  <sheetData>
    <row r="1" spans="1:14" ht="21">
      <c r="F1" s="50" t="s">
        <v>118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15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112</v>
      </c>
      <c r="B5" s="12"/>
      <c r="C5" s="13"/>
      <c r="D5" s="13"/>
      <c r="E5" s="13"/>
      <c r="F5" s="13"/>
      <c r="G5" s="195"/>
      <c r="H5" s="74">
        <f>H63</f>
        <v>44.043649999999985</v>
      </c>
      <c r="I5" s="74">
        <f>I63</f>
        <v>59.826099999999997</v>
      </c>
      <c r="J5" s="74">
        <f>J63</f>
        <v>209.17460000000005</v>
      </c>
      <c r="K5" s="196">
        <f>K63</f>
        <v>1531.6497499999998</v>
      </c>
      <c r="L5" s="197"/>
      <c r="M5" s="74">
        <f>M63</f>
        <v>53.218899999999998</v>
      </c>
      <c r="N5" s="195"/>
    </row>
    <row r="6" spans="1:14" ht="15.75" thickBot="1">
      <c r="A6" s="296" t="s">
        <v>4</v>
      </c>
      <c r="B6" s="278" t="s">
        <v>170</v>
      </c>
      <c r="C6" s="279"/>
      <c r="D6" s="279"/>
      <c r="E6" s="279"/>
      <c r="F6" s="298"/>
      <c r="G6" s="266">
        <v>250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46</v>
      </c>
      <c r="C7" s="281"/>
      <c r="D7" s="281"/>
      <c r="E7" s="257">
        <v>150</v>
      </c>
      <c r="F7" s="257">
        <v>150</v>
      </c>
      <c r="G7" s="257"/>
      <c r="H7" s="257">
        <f>2.8/100*150</f>
        <v>4.1999999999999993</v>
      </c>
      <c r="I7" s="257">
        <f>2.5/100*150</f>
        <v>3.75</v>
      </c>
      <c r="J7" s="257">
        <f>4.7/100*150</f>
        <v>7.05</v>
      </c>
      <c r="K7" s="89">
        <f>55/100*150</f>
        <v>82.5</v>
      </c>
      <c r="L7" s="8"/>
      <c r="M7" s="257">
        <f>1/100*150</f>
        <v>1.5</v>
      </c>
      <c r="N7" s="257"/>
    </row>
    <row r="8" spans="1:14" ht="15.75" thickBot="1">
      <c r="A8" s="297"/>
      <c r="B8" s="280" t="s">
        <v>47</v>
      </c>
      <c r="C8" s="281"/>
      <c r="D8" s="281"/>
      <c r="E8" s="257">
        <v>5</v>
      </c>
      <c r="F8" s="257">
        <v>5</v>
      </c>
      <c r="G8" s="257"/>
      <c r="H8" s="257">
        <v>0</v>
      </c>
      <c r="I8" s="257">
        <v>0</v>
      </c>
      <c r="J8" s="257">
        <f>100/100*5</f>
        <v>5</v>
      </c>
      <c r="K8" s="89">
        <f>400/100*5</f>
        <v>20</v>
      </c>
      <c r="L8" s="8"/>
      <c r="M8" s="257">
        <v>0</v>
      </c>
      <c r="N8" s="257"/>
    </row>
    <row r="9" spans="1:14" ht="15.75" thickBot="1">
      <c r="A9" s="297"/>
      <c r="B9" s="280" t="s">
        <v>48</v>
      </c>
      <c r="C9" s="281"/>
      <c r="D9" s="281"/>
      <c r="E9" s="257">
        <v>5</v>
      </c>
      <c r="F9" s="257">
        <v>5</v>
      </c>
      <c r="G9" s="257"/>
      <c r="H9" s="257">
        <f>0.4/100*5</f>
        <v>0.02</v>
      </c>
      <c r="I9" s="257">
        <f>78.5/100*5</f>
        <v>3.9250000000000003</v>
      </c>
      <c r="J9" s="257">
        <f>0.5/100*5</f>
        <v>2.5000000000000001E-2</v>
      </c>
      <c r="K9" s="89">
        <f>734/100*5</f>
        <v>36.700000000000003</v>
      </c>
      <c r="L9" s="8"/>
      <c r="M9" s="257">
        <f>0.6/100*5</f>
        <v>0.03</v>
      </c>
      <c r="N9" s="257"/>
    </row>
    <row r="10" spans="1:14" ht="15.75" thickBot="1">
      <c r="A10" s="297"/>
      <c r="B10" s="280" t="s">
        <v>75</v>
      </c>
      <c r="C10" s="281"/>
      <c r="D10" s="281"/>
      <c r="E10" s="257">
        <v>16</v>
      </c>
      <c r="F10" s="257">
        <v>16</v>
      </c>
      <c r="G10" s="257"/>
      <c r="H10" s="257">
        <f>10/100*16</f>
        <v>1.6</v>
      </c>
      <c r="I10" s="257">
        <f>1/100*16</f>
        <v>0.16</v>
      </c>
      <c r="J10" s="257">
        <f>71/100*16</f>
        <v>11.36</v>
      </c>
      <c r="K10" s="218">
        <f>340/100*16</f>
        <v>54.4</v>
      </c>
      <c r="L10" s="262"/>
      <c r="M10" s="257">
        <v>0</v>
      </c>
      <c r="N10" s="257"/>
    </row>
    <row r="11" spans="1:14" ht="15.75" thickBot="1">
      <c r="A11" s="297"/>
      <c r="B11" s="278" t="s">
        <v>207</v>
      </c>
      <c r="C11" s="279"/>
      <c r="D11" s="279"/>
      <c r="E11" s="261"/>
      <c r="F11" s="262"/>
      <c r="G11" s="266">
        <v>30</v>
      </c>
      <c r="H11" s="257">
        <f>7/100*30</f>
        <v>2.1</v>
      </c>
      <c r="I11" s="257">
        <f>1/100*30</f>
        <v>0.3</v>
      </c>
      <c r="J11" s="257">
        <f>47/100*30</f>
        <v>14.1</v>
      </c>
      <c r="K11" s="275">
        <f>230/100*30</f>
        <v>69</v>
      </c>
      <c r="L11" s="259"/>
      <c r="M11" s="257">
        <v>0</v>
      </c>
      <c r="N11" s="68"/>
    </row>
    <row r="12" spans="1:14" ht="15.75" thickBot="1">
      <c r="A12" s="297"/>
      <c r="B12" s="278" t="s">
        <v>23</v>
      </c>
      <c r="C12" s="279"/>
      <c r="D12" s="279"/>
      <c r="E12" s="198"/>
      <c r="F12" s="199"/>
      <c r="G12" s="70">
        <v>5</v>
      </c>
      <c r="H12" s="4">
        <f>0.4/100*5</f>
        <v>0.02</v>
      </c>
      <c r="I12" s="4">
        <f>78.5/100*5</f>
        <v>3.9250000000000003</v>
      </c>
      <c r="J12" s="4">
        <f>0.5/100*5</f>
        <v>2.5000000000000001E-2</v>
      </c>
      <c r="K12" s="275">
        <f>734/100*5</f>
        <v>36.700000000000003</v>
      </c>
      <c r="L12" s="276"/>
      <c r="M12" s="4">
        <f>0.6/100*5</f>
        <v>0.03</v>
      </c>
      <c r="N12" s="5"/>
    </row>
    <row r="13" spans="1:14" ht="15.75" thickBot="1">
      <c r="A13" s="297"/>
      <c r="B13" s="12" t="s">
        <v>183</v>
      </c>
      <c r="C13" s="13"/>
      <c r="D13" s="13"/>
      <c r="E13" s="261"/>
      <c r="F13" s="262"/>
      <c r="G13" s="66">
        <v>180</v>
      </c>
      <c r="H13" s="4"/>
      <c r="I13" s="4"/>
      <c r="J13" s="4"/>
      <c r="K13" s="270"/>
      <c r="L13" s="271"/>
      <c r="M13" s="4"/>
      <c r="N13" s="68"/>
    </row>
    <row r="14" spans="1:14" ht="15.75" thickBot="1">
      <c r="A14" s="297"/>
      <c r="B14" s="314" t="s">
        <v>62</v>
      </c>
      <c r="C14" s="314"/>
      <c r="D14" s="314"/>
      <c r="E14" s="257">
        <v>0.6</v>
      </c>
      <c r="F14" s="257">
        <v>0.6</v>
      </c>
      <c r="G14" s="257"/>
      <c r="H14" s="4">
        <f>20/100*0.6</f>
        <v>0.12</v>
      </c>
      <c r="I14" s="4">
        <v>0</v>
      </c>
      <c r="J14" s="4">
        <f>6.9/100*0.6</f>
        <v>4.1399999999999999E-2</v>
      </c>
      <c r="K14" s="275">
        <f>109/100*0.6</f>
        <v>0.65400000000000003</v>
      </c>
      <c r="L14" s="276"/>
      <c r="M14" s="4">
        <f>10/100*0.6</f>
        <v>0.06</v>
      </c>
      <c r="N14" s="257"/>
    </row>
    <row r="15" spans="1:14" ht="15.75" thickBot="1">
      <c r="A15" s="297"/>
      <c r="B15" s="44"/>
      <c r="C15" s="219" t="s">
        <v>46</v>
      </c>
      <c r="D15" s="219"/>
      <c r="E15" s="257">
        <v>50</v>
      </c>
      <c r="F15" s="257">
        <v>50</v>
      </c>
      <c r="G15" s="68"/>
      <c r="H15" s="4">
        <f>2.8/100*50</f>
        <v>1.4</v>
      </c>
      <c r="I15" s="4">
        <f>2.5/100*50</f>
        <v>1.25</v>
      </c>
      <c r="J15" s="4">
        <f>4.7/100*50</f>
        <v>2.35</v>
      </c>
      <c r="K15" s="275">
        <f>55/100*50</f>
        <v>27.500000000000004</v>
      </c>
      <c r="L15" s="259"/>
      <c r="M15" s="4">
        <f>1/100*50</f>
        <v>0.5</v>
      </c>
      <c r="N15" s="68"/>
    </row>
    <row r="16" spans="1:14" ht="15.75" thickBot="1">
      <c r="A16" s="306"/>
      <c r="B16" s="260"/>
      <c r="C16" s="261" t="s">
        <v>47</v>
      </c>
      <c r="D16" s="265"/>
      <c r="E16" s="257">
        <v>5</v>
      </c>
      <c r="F16" s="257">
        <v>5</v>
      </c>
      <c r="G16" s="5"/>
      <c r="H16" s="257">
        <f>0.4/100*5</f>
        <v>0.02</v>
      </c>
      <c r="I16" s="257">
        <f>78.5/100*5</f>
        <v>3.9250000000000003</v>
      </c>
      <c r="J16" s="257">
        <f>0.5/100*5</f>
        <v>2.5000000000000001E-2</v>
      </c>
      <c r="K16" s="218">
        <f>734/100*5</f>
        <v>36.700000000000003</v>
      </c>
      <c r="L16" s="262"/>
      <c r="M16" s="257">
        <f>0.6/100*5</f>
        <v>0.03</v>
      </c>
      <c r="N16" s="5"/>
    </row>
    <row r="17" spans="1:17" ht="15.75" thickBot="1">
      <c r="A17" s="61"/>
      <c r="B17" s="12" t="s">
        <v>234</v>
      </c>
      <c r="C17" s="13"/>
      <c r="D17" s="13"/>
      <c r="E17" s="261"/>
      <c r="F17" s="262"/>
      <c r="G17" s="137">
        <v>250</v>
      </c>
      <c r="H17" s="4"/>
      <c r="I17" s="4"/>
      <c r="J17" s="4"/>
      <c r="K17" s="270"/>
      <c r="L17" s="271"/>
      <c r="M17" s="4"/>
      <c r="N17" s="68"/>
    </row>
    <row r="18" spans="1:17" ht="15.75" thickBot="1">
      <c r="A18" s="297" t="s">
        <v>5</v>
      </c>
      <c r="B18" s="277" t="s">
        <v>235</v>
      </c>
      <c r="C18" s="277"/>
      <c r="D18" s="277"/>
      <c r="E18" s="257">
        <v>20</v>
      </c>
      <c r="F18" s="257">
        <v>20</v>
      </c>
      <c r="G18" s="142"/>
      <c r="H18" s="4">
        <f>18.9/100*20</f>
        <v>3.7799999999999994</v>
      </c>
      <c r="I18" s="4">
        <v>2.48</v>
      </c>
      <c r="J18" s="4">
        <v>0</v>
      </c>
      <c r="K18" s="275">
        <v>37.4</v>
      </c>
      <c r="L18" s="259"/>
      <c r="M18" s="4">
        <v>0</v>
      </c>
      <c r="N18" s="68"/>
    </row>
    <row r="19" spans="1:17" ht="15.75" thickBot="1">
      <c r="A19" s="297"/>
      <c r="B19" s="277" t="s">
        <v>222</v>
      </c>
      <c r="C19" s="277"/>
      <c r="D19" s="277"/>
      <c r="E19" s="257">
        <v>63</v>
      </c>
      <c r="F19" s="257">
        <v>47.5</v>
      </c>
      <c r="G19" s="142"/>
      <c r="H19" s="4">
        <f>0.8/100*47.5</f>
        <v>0.38</v>
      </c>
      <c r="I19" s="4">
        <v>0</v>
      </c>
      <c r="J19" s="4">
        <f>8.3/100*47.5</f>
        <v>3.9425000000000003</v>
      </c>
      <c r="K19" s="275">
        <f>37/100*47.5</f>
        <v>17.574999999999999</v>
      </c>
      <c r="L19" s="276"/>
      <c r="M19" s="4">
        <f>8/100*47.5</f>
        <v>3.8000000000000003</v>
      </c>
      <c r="N19" s="68"/>
    </row>
    <row r="20" spans="1:17" ht="15.75" thickBot="1">
      <c r="A20" s="297"/>
      <c r="B20" s="277" t="s">
        <v>33</v>
      </c>
      <c r="C20" s="277"/>
      <c r="D20" s="277"/>
      <c r="E20" s="257">
        <v>53</v>
      </c>
      <c r="F20" s="257">
        <v>40</v>
      </c>
      <c r="G20" s="142"/>
      <c r="H20" s="4">
        <f>1.2/100*40</f>
        <v>0.48</v>
      </c>
      <c r="I20" s="4">
        <v>0</v>
      </c>
      <c r="J20" s="4">
        <f>14/100*40</f>
        <v>5.6000000000000005</v>
      </c>
      <c r="K20" s="268">
        <f>62/100*40</f>
        <v>24.8</v>
      </c>
      <c r="L20" s="271"/>
      <c r="M20" s="4">
        <f>7.5/100*40</f>
        <v>3</v>
      </c>
      <c r="N20" s="68"/>
    </row>
    <row r="21" spans="1:17" ht="15.75" thickBot="1">
      <c r="A21" s="297"/>
      <c r="B21" s="218" t="s">
        <v>71</v>
      </c>
      <c r="C21" s="220" t="s">
        <v>32</v>
      </c>
      <c r="D21" s="219"/>
      <c r="E21" s="267">
        <v>63</v>
      </c>
      <c r="F21" s="267">
        <v>50</v>
      </c>
      <c r="G21" s="142"/>
      <c r="H21" s="4">
        <f>1.2/100*40</f>
        <v>0.48</v>
      </c>
      <c r="I21" s="4">
        <v>0</v>
      </c>
      <c r="J21" s="4">
        <f>4.1/100*40</f>
        <v>1.6399999999999997</v>
      </c>
      <c r="K21" s="268">
        <f>22/100*40</f>
        <v>8.8000000000000007</v>
      </c>
      <c r="L21" s="271"/>
      <c r="M21" s="4">
        <f>24/100*40</f>
        <v>9.6</v>
      </c>
      <c r="N21" s="68"/>
    </row>
    <row r="22" spans="1:17" ht="15.75" thickBot="1">
      <c r="A22" s="297"/>
      <c r="B22" s="277" t="s">
        <v>209</v>
      </c>
      <c r="C22" s="277"/>
      <c r="D22" s="277"/>
      <c r="E22" s="257">
        <v>7</v>
      </c>
      <c r="F22" s="257">
        <v>5</v>
      </c>
      <c r="G22" s="142"/>
      <c r="H22" s="4">
        <f>0.2/100*5</f>
        <v>0.01</v>
      </c>
      <c r="I22" s="4">
        <v>0</v>
      </c>
      <c r="J22" s="4">
        <f>10/100*5</f>
        <v>0.5</v>
      </c>
      <c r="K22" s="268">
        <f>42/100*5</f>
        <v>2.1</v>
      </c>
      <c r="L22" s="271"/>
      <c r="M22" s="4">
        <f>8.5/100*5</f>
        <v>0.42500000000000004</v>
      </c>
      <c r="N22" s="68"/>
    </row>
    <row r="23" spans="1:17" ht="15.75" thickBot="1">
      <c r="A23" s="297"/>
      <c r="B23" s="280" t="s">
        <v>35</v>
      </c>
      <c r="C23" s="281"/>
      <c r="D23" s="281"/>
      <c r="E23" s="257">
        <v>7</v>
      </c>
      <c r="F23" s="257">
        <v>5</v>
      </c>
      <c r="G23" s="142"/>
      <c r="H23" s="4">
        <f>1/100*5</f>
        <v>0.05</v>
      </c>
      <c r="I23" s="4">
        <v>0</v>
      </c>
      <c r="J23" s="4">
        <f>6.1/100*5</f>
        <v>0.30499999999999999</v>
      </c>
      <c r="K23" s="268">
        <f>29/100*5</f>
        <v>1.45</v>
      </c>
      <c r="L23" s="271"/>
      <c r="M23" s="4">
        <f>4/100*5</f>
        <v>0.2</v>
      </c>
      <c r="N23" s="68"/>
    </row>
    <row r="24" spans="1:17" ht="15.75" thickBot="1">
      <c r="A24" s="297"/>
      <c r="B24" s="280" t="s">
        <v>23</v>
      </c>
      <c r="C24" s="283"/>
      <c r="D24" s="284"/>
      <c r="E24" s="257">
        <v>2</v>
      </c>
      <c r="F24" s="257">
        <v>2</v>
      </c>
      <c r="G24" s="142"/>
      <c r="H24" s="4">
        <f>0.4/100*2</f>
        <v>8.0000000000000002E-3</v>
      </c>
      <c r="I24" s="4">
        <f>78.5/100*2</f>
        <v>1.57</v>
      </c>
      <c r="J24" s="4">
        <f>0.5/100*2</f>
        <v>0.01</v>
      </c>
      <c r="K24" s="275">
        <f>734/100*2</f>
        <v>14.68</v>
      </c>
      <c r="L24" s="276"/>
      <c r="M24" s="4">
        <v>0</v>
      </c>
      <c r="N24" s="68"/>
    </row>
    <row r="25" spans="1:17" ht="15.75" thickBot="1">
      <c r="A25" s="297"/>
      <c r="B25" s="277" t="s">
        <v>211</v>
      </c>
      <c r="C25" s="277"/>
      <c r="D25" s="277"/>
      <c r="E25" s="257">
        <v>2</v>
      </c>
      <c r="F25" s="257">
        <v>2</v>
      </c>
      <c r="G25" s="142"/>
      <c r="H25" s="257">
        <v>0</v>
      </c>
      <c r="I25" s="257">
        <f>99.9/100*2</f>
        <v>1.9980000000000002</v>
      </c>
      <c r="J25" s="257">
        <v>0</v>
      </c>
      <c r="K25" s="275">
        <f>900/100*2</f>
        <v>18</v>
      </c>
      <c r="L25" s="276"/>
      <c r="M25" s="257">
        <v>0</v>
      </c>
      <c r="N25" s="68"/>
    </row>
    <row r="26" spans="1:17" ht="15.75" thickBot="1">
      <c r="A26" s="297"/>
      <c r="B26" s="277" t="s">
        <v>37</v>
      </c>
      <c r="C26" s="277"/>
      <c r="D26" s="277"/>
      <c r="E26" s="257">
        <v>8</v>
      </c>
      <c r="F26" s="257">
        <v>8</v>
      </c>
      <c r="G26" s="142"/>
      <c r="H26" s="4">
        <f>2.6/100*8</f>
        <v>0.20800000000000002</v>
      </c>
      <c r="I26" s="4">
        <f>15/100*8</f>
        <v>1.2</v>
      </c>
      <c r="J26" s="4">
        <f>3.6/100*8</f>
        <v>0.28800000000000003</v>
      </c>
      <c r="K26" s="275">
        <f>160/100*8</f>
        <v>12.8</v>
      </c>
      <c r="L26" s="259"/>
      <c r="M26" s="4">
        <v>0</v>
      </c>
      <c r="N26" s="68"/>
    </row>
    <row r="27" spans="1:17" ht="15.75" thickBot="1">
      <c r="A27" s="297"/>
      <c r="B27" s="280" t="s">
        <v>236</v>
      </c>
      <c r="C27" s="283"/>
      <c r="D27" s="284"/>
      <c r="E27" s="257">
        <v>1.6</v>
      </c>
      <c r="F27" s="257">
        <v>1.6</v>
      </c>
      <c r="G27" s="142"/>
      <c r="H27" s="4">
        <f>2.2/100*1.6</f>
        <v>3.5200000000000002E-2</v>
      </c>
      <c r="I27" s="4">
        <v>0</v>
      </c>
      <c r="J27" s="4">
        <f>15.8/100*1.6</f>
        <v>0.25280000000000002</v>
      </c>
      <c r="K27" s="268">
        <f>63.2/100*1.6</f>
        <v>1.0112000000000001</v>
      </c>
      <c r="L27" s="271"/>
      <c r="M27" s="4">
        <f>26/100*1.6</f>
        <v>0.41600000000000004</v>
      </c>
      <c r="N27" s="68"/>
    </row>
    <row r="28" spans="1:17" ht="15.75" thickBot="1">
      <c r="A28" s="297"/>
      <c r="B28" s="260"/>
      <c r="C28" s="261" t="s">
        <v>24</v>
      </c>
      <c r="D28" s="265"/>
      <c r="E28" s="257">
        <v>1.6</v>
      </c>
      <c r="F28" s="257">
        <v>1.6</v>
      </c>
      <c r="G28" s="142"/>
      <c r="H28" s="4">
        <v>0</v>
      </c>
      <c r="I28" s="4">
        <v>0</v>
      </c>
      <c r="J28" s="4">
        <f>100/100*F28</f>
        <v>1.6</v>
      </c>
      <c r="K28" s="275">
        <f>400/100*F28</f>
        <v>6.4</v>
      </c>
      <c r="L28" s="276"/>
      <c r="M28" s="4">
        <v>0</v>
      </c>
      <c r="N28" s="68"/>
    </row>
    <row r="29" spans="1:17" ht="15.75" thickBot="1">
      <c r="A29" s="297"/>
      <c r="B29" s="277" t="s">
        <v>214</v>
      </c>
      <c r="C29" s="277"/>
      <c r="D29" s="277"/>
      <c r="E29" s="257">
        <v>6</v>
      </c>
      <c r="F29" s="257">
        <v>5.6</v>
      </c>
      <c r="G29" s="142"/>
      <c r="H29" s="4">
        <f>2.6/100*5.6</f>
        <v>0.14560000000000001</v>
      </c>
      <c r="I29" s="4">
        <v>0</v>
      </c>
      <c r="J29" s="4">
        <f>6.5/100*5.6</f>
        <v>0.36399999999999999</v>
      </c>
      <c r="K29" s="275">
        <f>37/100*5.6</f>
        <v>2.0720000000000001</v>
      </c>
      <c r="L29" s="259"/>
      <c r="M29" s="4">
        <f>126/100*5.6</f>
        <v>7.0559999999999992</v>
      </c>
      <c r="N29" s="68"/>
    </row>
    <row r="30" spans="1:17" ht="15.75" thickBot="1">
      <c r="A30" s="297"/>
      <c r="B30" s="278" t="s">
        <v>108</v>
      </c>
      <c r="C30" s="279"/>
      <c r="D30" s="279"/>
      <c r="E30" s="220"/>
      <c r="F30" s="21"/>
      <c r="G30" s="137">
        <v>200</v>
      </c>
      <c r="H30" s="3"/>
      <c r="I30" s="3"/>
      <c r="J30" s="3"/>
      <c r="K30" s="270"/>
      <c r="L30" s="271"/>
      <c r="M30" s="3"/>
      <c r="N30" s="5"/>
    </row>
    <row r="31" spans="1:17" ht="15.75" thickBot="1">
      <c r="A31" s="297"/>
      <c r="B31" s="280" t="s">
        <v>206</v>
      </c>
      <c r="C31" s="281"/>
      <c r="D31" s="281"/>
      <c r="E31" s="15">
        <v>52</v>
      </c>
      <c r="F31" s="15">
        <v>52</v>
      </c>
      <c r="G31" s="66"/>
      <c r="H31" s="3">
        <f>7/100*52</f>
        <v>3.6400000000000006</v>
      </c>
      <c r="I31" s="3">
        <f>1/100*52</f>
        <v>0.52</v>
      </c>
      <c r="J31" s="275">
        <f>74/100*52</f>
        <v>38.479999999999997</v>
      </c>
      <c r="K31" s="275">
        <f>330/100*52</f>
        <v>171.6</v>
      </c>
      <c r="L31" s="276"/>
      <c r="M31" s="3">
        <v>0</v>
      </c>
      <c r="N31" s="5"/>
    </row>
    <row r="32" spans="1:17" ht="15.75" thickBot="1">
      <c r="A32" s="297"/>
      <c r="B32" s="280" t="s">
        <v>23</v>
      </c>
      <c r="C32" s="281"/>
      <c r="D32" s="281"/>
      <c r="E32" s="15">
        <v>5</v>
      </c>
      <c r="F32" s="15">
        <v>5</v>
      </c>
      <c r="G32" s="73"/>
      <c r="H32" s="3">
        <f>0.4/100*5</f>
        <v>0.02</v>
      </c>
      <c r="I32" s="3">
        <f>78.5/100*5</f>
        <v>3.9250000000000003</v>
      </c>
      <c r="J32" s="3">
        <f>0.5/100*5</f>
        <v>2.5000000000000001E-2</v>
      </c>
      <c r="K32" s="268">
        <f>734/100*5</f>
        <v>36.700000000000003</v>
      </c>
      <c r="L32" s="271"/>
      <c r="M32" s="3">
        <f>0.6/100*5</f>
        <v>0.03</v>
      </c>
      <c r="N32" s="5"/>
      <c r="Q32" s="25"/>
    </row>
    <row r="33" spans="1:14" ht="15.75" thickBot="1">
      <c r="A33" s="297"/>
      <c r="B33" s="277" t="s">
        <v>36</v>
      </c>
      <c r="C33" s="277"/>
      <c r="D33" s="277"/>
      <c r="E33" s="15">
        <v>2</v>
      </c>
      <c r="F33" s="15">
        <v>2</v>
      </c>
      <c r="G33" s="73"/>
      <c r="H33" s="3">
        <v>0</v>
      </c>
      <c r="I33" s="3">
        <f>99.9/100*5</f>
        <v>4.995000000000001</v>
      </c>
      <c r="J33" s="3">
        <v>0</v>
      </c>
      <c r="K33" s="275">
        <f>900/100*2</f>
        <v>18</v>
      </c>
      <c r="L33" s="259"/>
      <c r="M33" s="3">
        <v>0</v>
      </c>
      <c r="N33" s="5"/>
    </row>
    <row r="34" spans="1:14" ht="15.75" thickBot="1">
      <c r="A34" s="297"/>
      <c r="B34" s="278" t="s">
        <v>122</v>
      </c>
      <c r="C34" s="279"/>
      <c r="D34" s="279"/>
      <c r="E34" s="220"/>
      <c r="F34" s="21"/>
      <c r="G34" s="66">
        <v>70</v>
      </c>
      <c r="H34" s="3"/>
      <c r="I34" s="3"/>
      <c r="J34" s="3"/>
      <c r="K34" s="270"/>
      <c r="L34" s="271"/>
      <c r="M34" s="3"/>
      <c r="N34" s="5"/>
    </row>
    <row r="35" spans="1:14" ht="15.75" thickBot="1">
      <c r="A35" s="297"/>
      <c r="B35" s="280" t="s">
        <v>91</v>
      </c>
      <c r="C35" s="281"/>
      <c r="D35" s="282"/>
      <c r="E35" s="15">
        <v>60</v>
      </c>
      <c r="F35" s="15">
        <v>60</v>
      </c>
      <c r="G35" s="3"/>
      <c r="H35" s="3">
        <f>18.9/100*60</f>
        <v>11.339999999999998</v>
      </c>
      <c r="I35" s="3">
        <f>12.4/100*60</f>
        <v>7.4399999999999995</v>
      </c>
      <c r="J35" s="3">
        <v>0</v>
      </c>
      <c r="K35" s="275">
        <f>187/100*60</f>
        <v>112.2</v>
      </c>
      <c r="L35" s="276"/>
      <c r="M35" s="3">
        <v>0</v>
      </c>
      <c r="N35" s="5"/>
    </row>
    <row r="36" spans="1:14" ht="15.75" thickBot="1">
      <c r="A36" s="297"/>
      <c r="B36" s="280" t="s">
        <v>48</v>
      </c>
      <c r="C36" s="283"/>
      <c r="D36" s="284"/>
      <c r="E36" s="15">
        <v>2</v>
      </c>
      <c r="F36" s="15">
        <v>2</v>
      </c>
      <c r="G36" s="5"/>
      <c r="H36" s="3">
        <f>0.4/100*2</f>
        <v>8.0000000000000002E-3</v>
      </c>
      <c r="I36" s="3">
        <f>78.5/100*2</f>
        <v>1.57</v>
      </c>
      <c r="J36" s="3">
        <f>0.5/100*2</f>
        <v>0.01</v>
      </c>
      <c r="K36" s="275">
        <f>734/100*2</f>
        <v>14.68</v>
      </c>
      <c r="L36" s="276"/>
      <c r="M36" s="3">
        <v>0</v>
      </c>
      <c r="N36" s="5"/>
    </row>
    <row r="37" spans="1:14" ht="15.75" thickBot="1">
      <c r="A37" s="297"/>
      <c r="B37" s="277" t="s">
        <v>60</v>
      </c>
      <c r="C37" s="277"/>
      <c r="D37" s="277"/>
      <c r="E37" s="15">
        <v>2</v>
      </c>
      <c r="F37" s="15">
        <v>2</v>
      </c>
      <c r="G37" s="3"/>
      <c r="H37" s="1">
        <v>0</v>
      </c>
      <c r="I37" s="1">
        <f>99.9/100*2</f>
        <v>1.9980000000000002</v>
      </c>
      <c r="J37" s="1">
        <v>0</v>
      </c>
      <c r="K37" s="275">
        <f>900/100*2</f>
        <v>18</v>
      </c>
      <c r="L37" s="276"/>
      <c r="M37" s="1">
        <v>0</v>
      </c>
      <c r="N37" s="5"/>
    </row>
    <row r="38" spans="1:14" ht="15.75" thickBot="1">
      <c r="A38" s="297"/>
      <c r="B38" s="277" t="s">
        <v>54</v>
      </c>
      <c r="C38" s="277"/>
      <c r="D38" s="277"/>
      <c r="E38" s="15">
        <v>7</v>
      </c>
      <c r="F38" s="15">
        <v>5</v>
      </c>
      <c r="G38" s="3"/>
      <c r="H38" s="3">
        <f>0.2/100*5</f>
        <v>0.01</v>
      </c>
      <c r="I38" s="3">
        <v>0</v>
      </c>
      <c r="J38" s="3">
        <f>10/100*5</f>
        <v>0.5</v>
      </c>
      <c r="K38" s="268">
        <f>42/100*5</f>
        <v>2.1</v>
      </c>
      <c r="L38" s="271"/>
      <c r="M38" s="3">
        <f>8.5/100*5</f>
        <v>0.42500000000000004</v>
      </c>
      <c r="N38" s="5"/>
    </row>
    <row r="39" spans="1:14" ht="15.75" thickBot="1">
      <c r="A39" s="297"/>
      <c r="B39" s="280" t="s">
        <v>55</v>
      </c>
      <c r="C39" s="281"/>
      <c r="D39" s="281"/>
      <c r="E39" s="15">
        <v>7</v>
      </c>
      <c r="F39" s="15">
        <v>5</v>
      </c>
      <c r="G39" s="3"/>
      <c r="H39" s="3">
        <f>1/100*5</f>
        <v>0.05</v>
      </c>
      <c r="I39" s="3">
        <v>0</v>
      </c>
      <c r="J39" s="3">
        <f>6.1/100*5</f>
        <v>0.30499999999999999</v>
      </c>
      <c r="K39" s="268">
        <f>29/100*5</f>
        <v>1.45</v>
      </c>
      <c r="L39" s="271"/>
      <c r="M39" s="3">
        <f>4/100*5</f>
        <v>0.2</v>
      </c>
      <c r="N39" s="5"/>
    </row>
    <row r="40" spans="1:14" ht="15.75" thickBot="1">
      <c r="A40" s="297"/>
      <c r="B40" s="260"/>
      <c r="C40" s="261" t="s">
        <v>51</v>
      </c>
      <c r="D40" s="265"/>
      <c r="E40" s="15">
        <v>2.1</v>
      </c>
      <c r="F40" s="15">
        <v>2.1</v>
      </c>
      <c r="G40" s="5"/>
      <c r="H40" s="3">
        <f>10.3/100*2.1</f>
        <v>0.21630000000000002</v>
      </c>
      <c r="I40" s="3">
        <f>1.1/100*2.1</f>
        <v>2.3100000000000002E-2</v>
      </c>
      <c r="J40" s="3">
        <f>70.6/100*2.1</f>
        <v>1.4825999999999999</v>
      </c>
      <c r="K40" s="268">
        <f>334/100*2.1</f>
        <v>7.0140000000000002</v>
      </c>
      <c r="L40" s="20"/>
      <c r="M40" s="3">
        <v>0</v>
      </c>
      <c r="N40" s="5"/>
    </row>
    <row r="41" spans="1:14" ht="15.75" thickBot="1">
      <c r="A41" s="297"/>
      <c r="B41" s="280" t="s">
        <v>78</v>
      </c>
      <c r="C41" s="283"/>
      <c r="D41" s="284"/>
      <c r="E41" s="15">
        <v>7</v>
      </c>
      <c r="F41" s="15">
        <v>7</v>
      </c>
      <c r="G41" s="5"/>
      <c r="H41" s="3">
        <f>2.2/100*7</f>
        <v>0.15400000000000003</v>
      </c>
      <c r="I41" s="3">
        <v>0</v>
      </c>
      <c r="J41" s="3">
        <f>15.8/100*7</f>
        <v>1.1060000000000001</v>
      </c>
      <c r="K41" s="268">
        <f>63.2/100*7</f>
        <v>4.4240000000000004</v>
      </c>
      <c r="L41" s="271"/>
      <c r="M41" s="3">
        <f>26/100*7</f>
        <v>1.82</v>
      </c>
      <c r="N41" s="5"/>
    </row>
    <row r="42" spans="1:14" ht="15.75" thickBot="1">
      <c r="A42" s="297"/>
      <c r="B42" s="277" t="s">
        <v>72</v>
      </c>
      <c r="C42" s="277"/>
      <c r="D42" s="277"/>
      <c r="E42" s="15">
        <v>3</v>
      </c>
      <c r="F42" s="15">
        <v>2.8</v>
      </c>
      <c r="G42" s="3"/>
      <c r="H42" s="1">
        <f>0.15/2</f>
        <v>7.4999999999999997E-2</v>
      </c>
      <c r="I42" s="1"/>
      <c r="J42" s="1">
        <f>0.36/2</f>
        <v>0.18</v>
      </c>
      <c r="K42" s="275"/>
      <c r="L42" s="276"/>
      <c r="M42" s="1">
        <f>7.06/2</f>
        <v>3.53</v>
      </c>
      <c r="N42" s="5"/>
    </row>
    <row r="43" spans="1:14" ht="15.75" thickBot="1">
      <c r="A43" s="297"/>
      <c r="B43" s="280" t="s">
        <v>37</v>
      </c>
      <c r="C43" s="281"/>
      <c r="D43" s="282"/>
      <c r="E43" s="15">
        <v>6</v>
      </c>
      <c r="F43" s="15">
        <v>6</v>
      </c>
      <c r="G43" s="73"/>
      <c r="H43" s="3">
        <f>2.6/100*4</f>
        <v>0.10400000000000001</v>
      </c>
      <c r="I43" s="3">
        <f>15/100*4</f>
        <v>0.6</v>
      </c>
      <c r="J43" s="3">
        <f>3.6/100*4</f>
        <v>0.14400000000000002</v>
      </c>
      <c r="K43" s="275">
        <f>160/100*4</f>
        <v>6.4</v>
      </c>
      <c r="L43" s="276"/>
      <c r="M43" s="3">
        <v>0</v>
      </c>
      <c r="N43" s="5"/>
    </row>
    <row r="44" spans="1:14" ht="15.75" thickBot="1">
      <c r="A44" s="297"/>
      <c r="B44" s="278" t="s">
        <v>129</v>
      </c>
      <c r="C44" s="279"/>
      <c r="D44" s="279"/>
      <c r="E44" s="220"/>
      <c r="F44" s="21"/>
      <c r="G44" s="66">
        <v>50</v>
      </c>
      <c r="H44" s="3">
        <f>7/100*50</f>
        <v>3.5000000000000004</v>
      </c>
      <c r="I44" s="3">
        <f>1/100*50</f>
        <v>0.5</v>
      </c>
      <c r="J44" s="3">
        <f>46/100*50</f>
        <v>23</v>
      </c>
      <c r="K44" s="287">
        <f>200/100*50</f>
        <v>100</v>
      </c>
      <c r="L44" s="288"/>
      <c r="M44" s="3">
        <v>0</v>
      </c>
      <c r="N44" s="5"/>
    </row>
    <row r="45" spans="1:14" ht="15.75" thickBot="1">
      <c r="A45" s="297"/>
      <c r="B45" s="278" t="s">
        <v>40</v>
      </c>
      <c r="C45" s="279"/>
      <c r="D45" s="279"/>
      <c r="E45" s="220"/>
      <c r="F45" s="21"/>
      <c r="G45" s="66">
        <v>180</v>
      </c>
      <c r="H45" s="3"/>
      <c r="I45" s="3"/>
      <c r="J45" s="3"/>
      <c r="K45" s="270"/>
      <c r="L45" s="271"/>
      <c r="M45" s="3"/>
      <c r="N45" s="5"/>
    </row>
    <row r="46" spans="1:14" ht="15.75" thickBot="1">
      <c r="A46" s="297"/>
      <c r="B46" s="280" t="s">
        <v>57</v>
      </c>
      <c r="C46" s="281"/>
      <c r="D46" s="282"/>
      <c r="E46" s="257">
        <v>11</v>
      </c>
      <c r="F46" s="257">
        <v>16.5</v>
      </c>
      <c r="G46" s="3"/>
      <c r="H46" s="4">
        <f>0.63/100*16.5</f>
        <v>0.10395</v>
      </c>
      <c r="I46" s="4">
        <v>0</v>
      </c>
      <c r="J46" s="4">
        <f>10.06/100*16.5</f>
        <v>1.6599000000000002</v>
      </c>
      <c r="K46" s="275">
        <f>40.87/100*16.5</f>
        <v>6.743549999999999</v>
      </c>
      <c r="L46" s="276"/>
      <c r="M46" s="4">
        <f>0.46/100*16.5</f>
        <v>7.5899999999999995E-2</v>
      </c>
      <c r="N46" s="5"/>
    </row>
    <row r="47" spans="1:14" ht="15.75" thickBot="1">
      <c r="A47" s="297"/>
      <c r="B47" s="280" t="s">
        <v>47</v>
      </c>
      <c r="C47" s="281"/>
      <c r="D47" s="282"/>
      <c r="E47" s="257">
        <v>10</v>
      </c>
      <c r="F47" s="257">
        <v>10</v>
      </c>
      <c r="G47" s="5"/>
      <c r="H47" s="4">
        <v>0</v>
      </c>
      <c r="I47" s="4">
        <v>0</v>
      </c>
      <c r="J47" s="4">
        <f>100/100*10</f>
        <v>10</v>
      </c>
      <c r="K47" s="275">
        <f>400/100*10</f>
        <v>40</v>
      </c>
      <c r="L47" s="276"/>
      <c r="M47" s="4">
        <v>0</v>
      </c>
      <c r="N47" s="5"/>
    </row>
    <row r="48" spans="1:14" ht="15.75" thickBot="1">
      <c r="A48" s="293" t="s">
        <v>6</v>
      </c>
      <c r="B48" s="278" t="s">
        <v>185</v>
      </c>
      <c r="C48" s="279"/>
      <c r="D48" s="279"/>
      <c r="E48" s="220"/>
      <c r="F48" s="21"/>
      <c r="G48" s="137">
        <v>20</v>
      </c>
      <c r="H48" s="4">
        <f>7.4/100*20</f>
        <v>1.4800000000000002</v>
      </c>
      <c r="I48" s="4">
        <f>17.6/100*20</f>
        <v>3.5200000000000005</v>
      </c>
      <c r="J48" s="4">
        <f>64.2/100*20</f>
        <v>12.84</v>
      </c>
      <c r="K48" s="275">
        <f>445/100*20</f>
        <v>89</v>
      </c>
      <c r="L48" s="276"/>
      <c r="M48" s="4">
        <v>0</v>
      </c>
      <c r="N48" s="5"/>
    </row>
    <row r="49" spans="1:14" ht="15.75" thickBot="1">
      <c r="A49" s="294"/>
      <c r="B49" s="278" t="s">
        <v>180</v>
      </c>
      <c r="C49" s="279"/>
      <c r="D49" s="298"/>
      <c r="E49" s="257">
        <v>150</v>
      </c>
      <c r="F49" s="257">
        <v>150</v>
      </c>
      <c r="G49" s="137">
        <v>150</v>
      </c>
      <c r="H49" s="4">
        <f>0.4/100*150</f>
        <v>0.6</v>
      </c>
      <c r="I49" s="4">
        <v>0</v>
      </c>
      <c r="J49" s="4">
        <f>11.7/100*150</f>
        <v>17.549999999999997</v>
      </c>
      <c r="K49" s="275">
        <f>50/100*150</f>
        <v>75</v>
      </c>
      <c r="L49" s="276"/>
      <c r="M49" s="4">
        <v>0</v>
      </c>
      <c r="N49" s="5"/>
    </row>
    <row r="50" spans="1:14" ht="15.75" thickBot="1">
      <c r="A50" s="293" t="s">
        <v>7</v>
      </c>
      <c r="B50" s="278" t="s">
        <v>247</v>
      </c>
      <c r="C50" s="279"/>
      <c r="D50" s="298"/>
      <c r="E50" s="15"/>
      <c r="F50" s="15"/>
      <c r="G50" s="137">
        <v>200</v>
      </c>
      <c r="H50" s="3"/>
      <c r="I50" s="3"/>
      <c r="J50" s="3"/>
      <c r="K50" s="285"/>
      <c r="L50" s="286"/>
      <c r="M50" s="3"/>
      <c r="N50" s="5"/>
    </row>
    <row r="51" spans="1:14" ht="15.75" thickBot="1">
      <c r="A51" s="294"/>
      <c r="B51" s="277" t="s">
        <v>248</v>
      </c>
      <c r="C51" s="277"/>
      <c r="D51" s="277"/>
      <c r="E51" s="15">
        <v>20</v>
      </c>
      <c r="F51" s="15">
        <v>20</v>
      </c>
      <c r="G51" s="73"/>
      <c r="H51" s="3">
        <f>15/100*F51</f>
        <v>3</v>
      </c>
      <c r="I51" s="3">
        <f>17/100*F51</f>
        <v>3.4000000000000004</v>
      </c>
      <c r="J51" s="3">
        <f>0</f>
        <v>0</v>
      </c>
      <c r="K51" s="275">
        <f>213/100*F51</f>
        <v>42.599999999999994</v>
      </c>
      <c r="L51" s="259"/>
      <c r="M51" s="275">
        <v>0</v>
      </c>
      <c r="N51" s="5"/>
    </row>
    <row r="52" spans="1:14" ht="15.75" thickBot="1">
      <c r="A52" s="294"/>
      <c r="B52" s="280" t="s">
        <v>52</v>
      </c>
      <c r="C52" s="281"/>
      <c r="D52" s="281"/>
      <c r="E52" s="15">
        <v>200</v>
      </c>
      <c r="F52" s="15">
        <v>170</v>
      </c>
      <c r="G52" s="73"/>
      <c r="H52" s="3">
        <f>1.2/100*170</f>
        <v>2.04</v>
      </c>
      <c r="I52" s="3">
        <v>0</v>
      </c>
      <c r="J52" s="3">
        <f>14/100*170</f>
        <v>23.8</v>
      </c>
      <c r="K52" s="275">
        <f>62/100*170</f>
        <v>105.4</v>
      </c>
      <c r="L52" s="276"/>
      <c r="M52" s="3">
        <f>7.5/100*170</f>
        <v>12.75</v>
      </c>
      <c r="N52" s="5"/>
    </row>
    <row r="53" spans="1:14" ht="15.75" thickBot="1">
      <c r="A53" s="294"/>
      <c r="B53" s="277" t="s">
        <v>54</v>
      </c>
      <c r="C53" s="277"/>
      <c r="D53" s="277"/>
      <c r="E53" s="15">
        <v>7</v>
      </c>
      <c r="F53" s="15">
        <v>5</v>
      </c>
      <c r="G53" s="73"/>
      <c r="H53" s="3">
        <f>0.2/100*5</f>
        <v>0.01</v>
      </c>
      <c r="I53" s="3">
        <v>0</v>
      </c>
      <c r="J53" s="3">
        <f>10/100*5</f>
        <v>0.5</v>
      </c>
      <c r="K53" s="268">
        <f>42/100*5</f>
        <v>2.1</v>
      </c>
      <c r="L53" s="271"/>
      <c r="M53" s="3">
        <f>8.5/100*5</f>
        <v>0.42500000000000004</v>
      </c>
      <c r="N53" s="5"/>
    </row>
    <row r="54" spans="1:14" ht="15.75" thickBot="1">
      <c r="A54" s="294"/>
      <c r="B54" s="280" t="s">
        <v>55</v>
      </c>
      <c r="C54" s="281"/>
      <c r="D54" s="281"/>
      <c r="E54" s="15">
        <v>7</v>
      </c>
      <c r="F54" s="15">
        <v>5</v>
      </c>
      <c r="G54" s="73"/>
      <c r="H54" s="3">
        <f>1/100*5</f>
        <v>0.05</v>
      </c>
      <c r="I54" s="3">
        <v>0</v>
      </c>
      <c r="J54" s="3">
        <f>6.1/100*5</f>
        <v>0.30499999999999999</v>
      </c>
      <c r="K54" s="268">
        <f>29/100*5</f>
        <v>1.45</v>
      </c>
      <c r="L54" s="271"/>
      <c r="M54" s="3">
        <f>4/100*5</f>
        <v>0.2</v>
      </c>
      <c r="N54" s="5"/>
    </row>
    <row r="55" spans="1:14" ht="15.75" thickBot="1">
      <c r="A55" s="294"/>
      <c r="B55" s="280" t="s">
        <v>48</v>
      </c>
      <c r="C55" s="283"/>
      <c r="D55" s="284"/>
      <c r="E55" s="15">
        <v>3</v>
      </c>
      <c r="F55" s="15">
        <v>3</v>
      </c>
      <c r="G55" s="66"/>
      <c r="H55" s="3">
        <f>0.4/100*3</f>
        <v>1.2E-2</v>
      </c>
      <c r="I55" s="3">
        <f>78.5/100*3</f>
        <v>2.355</v>
      </c>
      <c r="J55" s="3">
        <f>0.5/100*3</f>
        <v>1.4999999999999999E-2</v>
      </c>
      <c r="K55" s="275">
        <f>734/100*3</f>
        <v>22.02</v>
      </c>
      <c r="L55" s="276"/>
      <c r="M55" s="3">
        <v>0</v>
      </c>
      <c r="N55" s="5"/>
    </row>
    <row r="56" spans="1:14" ht="15.75" thickBot="1">
      <c r="A56" s="294"/>
      <c r="B56" s="277" t="s">
        <v>60</v>
      </c>
      <c r="C56" s="277"/>
      <c r="D56" s="277"/>
      <c r="E56" s="15">
        <v>3</v>
      </c>
      <c r="F56" s="15">
        <v>3</v>
      </c>
      <c r="G56" s="73"/>
      <c r="H56" s="1">
        <v>0</v>
      </c>
      <c r="I56" s="1">
        <f>99.9/100*3</f>
        <v>2.9970000000000003</v>
      </c>
      <c r="J56" s="1">
        <v>0</v>
      </c>
      <c r="K56" s="275">
        <f>900/100*3</f>
        <v>27</v>
      </c>
      <c r="L56" s="276"/>
      <c r="M56" s="1">
        <v>0</v>
      </c>
      <c r="N56" s="5"/>
    </row>
    <row r="57" spans="1:14" ht="15.75" thickBot="1">
      <c r="A57" s="294"/>
      <c r="B57" s="277" t="s">
        <v>63</v>
      </c>
      <c r="C57" s="277"/>
      <c r="D57" s="277"/>
      <c r="E57" s="15">
        <v>8</v>
      </c>
      <c r="F57" s="15">
        <v>8</v>
      </c>
      <c r="G57" s="73"/>
      <c r="H57" s="3">
        <f>2.6/100*8</f>
        <v>0.20800000000000002</v>
      </c>
      <c r="I57" s="3">
        <f>15/100*8</f>
        <v>1.2</v>
      </c>
      <c r="J57" s="3">
        <f>3.6/100*8</f>
        <v>0.28800000000000003</v>
      </c>
      <c r="K57" s="275">
        <f>160/100*8</f>
        <v>12.8</v>
      </c>
      <c r="L57" s="259"/>
      <c r="M57" s="3">
        <v>0</v>
      </c>
      <c r="N57" s="5"/>
    </row>
    <row r="58" spans="1:14" ht="15.75" thickBot="1">
      <c r="A58" s="294"/>
      <c r="B58" s="277" t="s">
        <v>72</v>
      </c>
      <c r="C58" s="277"/>
      <c r="D58" s="277"/>
      <c r="E58" s="15">
        <v>6</v>
      </c>
      <c r="F58" s="15">
        <v>5.6</v>
      </c>
      <c r="G58" s="73"/>
      <c r="H58" s="3">
        <f>2.6/100*5.6</f>
        <v>0.14560000000000001</v>
      </c>
      <c r="I58" s="3">
        <v>0</v>
      </c>
      <c r="J58" s="3">
        <f>6.5/100*5.6</f>
        <v>0.36399999999999999</v>
      </c>
      <c r="K58" s="275">
        <f>37/100*5.6</f>
        <v>2.0720000000000001</v>
      </c>
      <c r="L58" s="259"/>
      <c r="M58" s="3">
        <f>126/100*5.6</f>
        <v>7.0559999999999992</v>
      </c>
      <c r="N58" s="257"/>
    </row>
    <row r="59" spans="1:14" ht="15.75" thickBot="1">
      <c r="A59" s="294"/>
      <c r="B59" s="278" t="s">
        <v>207</v>
      </c>
      <c r="C59" s="279"/>
      <c r="D59" s="279"/>
      <c r="E59" s="261"/>
      <c r="F59" s="262"/>
      <c r="G59" s="266">
        <v>30</v>
      </c>
      <c r="H59" s="257">
        <f>7/100*30</f>
        <v>2.1</v>
      </c>
      <c r="I59" s="257">
        <f>1/100*30</f>
        <v>0.3</v>
      </c>
      <c r="J59" s="257">
        <f>47/100*30</f>
        <v>14.1</v>
      </c>
      <c r="K59" s="275">
        <f>230/100*30</f>
        <v>69</v>
      </c>
      <c r="L59" s="259"/>
      <c r="M59" s="257">
        <v>0</v>
      </c>
      <c r="N59" s="85"/>
    </row>
    <row r="60" spans="1:14" ht="15.75" thickBot="1">
      <c r="A60" s="294"/>
      <c r="B60" s="278" t="s">
        <v>44</v>
      </c>
      <c r="C60" s="279"/>
      <c r="D60" s="279"/>
      <c r="E60" s="220"/>
      <c r="F60" s="21"/>
      <c r="G60" s="137">
        <v>180</v>
      </c>
      <c r="H60" s="3"/>
      <c r="I60" s="3"/>
      <c r="J60" s="3"/>
      <c r="K60" s="307"/>
      <c r="L60" s="308"/>
      <c r="M60" s="3"/>
      <c r="N60" s="66">
        <v>263</v>
      </c>
    </row>
    <row r="61" spans="1:14" ht="15.75" thickBot="1">
      <c r="A61" s="294"/>
      <c r="B61" s="277" t="s">
        <v>210</v>
      </c>
      <c r="C61" s="277"/>
      <c r="D61" s="277"/>
      <c r="E61" s="257">
        <v>0.6</v>
      </c>
      <c r="F61" s="257">
        <v>0.6</v>
      </c>
      <c r="G61" s="257"/>
      <c r="H61" s="4">
        <f>20/100*0.6</f>
        <v>0.12</v>
      </c>
      <c r="I61" s="4">
        <v>0</v>
      </c>
      <c r="J61" s="4">
        <f>6.9/100*0.6</f>
        <v>4.1399999999999999E-2</v>
      </c>
      <c r="K61" s="275">
        <f>109/100*0.6</f>
        <v>0.65400000000000003</v>
      </c>
      <c r="L61" s="276"/>
      <c r="M61" s="4">
        <f>10/100*0.6</f>
        <v>0.06</v>
      </c>
      <c r="N61" s="257"/>
    </row>
    <row r="62" spans="1:14" ht="15.75" thickBot="1">
      <c r="A62" s="295"/>
      <c r="B62" s="280" t="s">
        <v>24</v>
      </c>
      <c r="C62" s="281"/>
      <c r="D62" s="281"/>
      <c r="E62" s="257">
        <v>8</v>
      </c>
      <c r="F62" s="257">
        <v>8</v>
      </c>
      <c r="G62" s="266"/>
      <c r="H62" s="3">
        <v>0</v>
      </c>
      <c r="I62" s="3">
        <v>0</v>
      </c>
      <c r="J62" s="3">
        <v>8</v>
      </c>
      <c r="K62" s="275">
        <v>32</v>
      </c>
      <c r="L62" s="259"/>
      <c r="M62" s="3">
        <v>0</v>
      </c>
      <c r="N62" s="5"/>
    </row>
    <row r="63" spans="1:14">
      <c r="H63" s="37">
        <f t="shared" ref="H63:M63" si="0">SUM(H7:H62)</f>
        <v>44.043649999999985</v>
      </c>
      <c r="I63" s="37">
        <f t="shared" si="0"/>
        <v>59.826099999999997</v>
      </c>
      <c r="J63" s="37">
        <f t="shared" si="0"/>
        <v>209.17460000000005</v>
      </c>
      <c r="K63" s="37">
        <f t="shared" si="0"/>
        <v>1531.6497499999998</v>
      </c>
      <c r="L63" s="37">
        <f t="shared" si="0"/>
        <v>0</v>
      </c>
      <c r="M63" s="37">
        <f t="shared" si="0"/>
        <v>53.218899999999998</v>
      </c>
    </row>
  </sheetData>
  <mergeCells count="65">
    <mergeCell ref="B44:D44"/>
    <mergeCell ref="K44:L44"/>
    <mergeCell ref="B45:D45"/>
    <mergeCell ref="K50:L50"/>
    <mergeCell ref="B62:D62"/>
    <mergeCell ref="B26:D26"/>
    <mergeCell ref="B39:D39"/>
    <mergeCell ref="B46:D46"/>
    <mergeCell ref="B51:D51"/>
    <mergeCell ref="B49:D49"/>
    <mergeCell ref="B27:D27"/>
    <mergeCell ref="B34:D34"/>
    <mergeCell ref="B36:D36"/>
    <mergeCell ref="B41:D41"/>
    <mergeCell ref="B42:D42"/>
    <mergeCell ref="B43:D43"/>
    <mergeCell ref="N3:N4"/>
    <mergeCell ref="B6:F6"/>
    <mergeCell ref="B7:D7"/>
    <mergeCell ref="E3:F3"/>
    <mergeCell ref="G3:G4"/>
    <mergeCell ref="H3:J3"/>
    <mergeCell ref="K3:L4"/>
    <mergeCell ref="M3:M4"/>
    <mergeCell ref="B14:D14"/>
    <mergeCell ref="B12:D12"/>
    <mergeCell ref="A3:A4"/>
    <mergeCell ref="B3:D4"/>
    <mergeCell ref="A6:A16"/>
    <mergeCell ref="B10:D10"/>
    <mergeCell ref="B11:D11"/>
    <mergeCell ref="B8:D8"/>
    <mergeCell ref="B9:D9"/>
    <mergeCell ref="A18:A47"/>
    <mergeCell ref="B38:D38"/>
    <mergeCell ref="B47:D47"/>
    <mergeCell ref="B31:D31"/>
    <mergeCell ref="B32:D32"/>
    <mergeCell ref="B33:D33"/>
    <mergeCell ref="B35:D35"/>
    <mergeCell ref="B37:D37"/>
    <mergeCell ref="B30:D30"/>
    <mergeCell ref="B29:D29"/>
    <mergeCell ref="B18:D18"/>
    <mergeCell ref="B19:D19"/>
    <mergeCell ref="B20:D20"/>
    <mergeCell ref="B22:D22"/>
    <mergeCell ref="B23:D23"/>
    <mergeCell ref="B24:D24"/>
    <mergeCell ref="B25:D25"/>
    <mergeCell ref="A50:A62"/>
    <mergeCell ref="B50:D50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A48:A49"/>
    <mergeCell ref="B48:D48"/>
    <mergeCell ref="K60:L60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82"/>
  <sheetViews>
    <sheetView topLeftCell="A28" workbookViewId="0">
      <selection activeCell="A31" sqref="A31:M39"/>
    </sheetView>
  </sheetViews>
  <sheetFormatPr defaultRowHeight="15"/>
  <sheetData>
    <row r="1" spans="1:13" ht="15.75" thickBot="1"/>
    <row r="2" spans="1:13" ht="15.75" thickBot="1">
      <c r="A2" s="94" t="s">
        <v>155</v>
      </c>
      <c r="B2" s="95"/>
      <c r="C2" s="95"/>
      <c r="D2" s="13"/>
      <c r="E2" s="14"/>
      <c r="F2" s="66">
        <v>60</v>
      </c>
      <c r="G2" s="3"/>
      <c r="H2" s="3"/>
      <c r="I2" s="3"/>
      <c r="J2" s="17"/>
      <c r="K2" s="18"/>
      <c r="L2" s="3"/>
      <c r="M2" s="5"/>
    </row>
    <row r="3" spans="1:13" ht="15.75" thickBot="1">
      <c r="A3" s="280" t="s">
        <v>32</v>
      </c>
      <c r="B3" s="281"/>
      <c r="C3" s="282"/>
      <c r="D3" s="100">
        <v>50</v>
      </c>
      <c r="E3" s="100">
        <v>40</v>
      </c>
      <c r="F3" s="4"/>
      <c r="G3" s="4">
        <f>1.2/100*40</f>
        <v>0.48</v>
      </c>
      <c r="H3" s="4">
        <v>0</v>
      </c>
      <c r="I3" s="4">
        <f>4.1/100*40</f>
        <v>1.6399999999999997</v>
      </c>
      <c r="J3" s="101">
        <f>22/100*40</f>
        <v>8.8000000000000007</v>
      </c>
      <c r="K3" s="102"/>
      <c r="L3" s="4">
        <f>24/100*40</f>
        <v>9.6</v>
      </c>
      <c r="M3" s="5"/>
    </row>
    <row r="4" spans="1:13" ht="15.75" thickBot="1">
      <c r="A4" s="280" t="s">
        <v>36</v>
      </c>
      <c r="B4" s="281"/>
      <c r="C4" s="282"/>
      <c r="D4" s="100">
        <v>4</v>
      </c>
      <c r="E4" s="100">
        <v>4</v>
      </c>
      <c r="F4" s="4"/>
      <c r="G4" s="4">
        <v>0</v>
      </c>
      <c r="H4" s="4">
        <f>99.9/100*4</f>
        <v>3.9960000000000004</v>
      </c>
      <c r="I4" s="4">
        <v>0</v>
      </c>
      <c r="J4" s="101">
        <f>900/100*4</f>
        <v>36</v>
      </c>
      <c r="K4" s="102"/>
      <c r="L4" s="4">
        <v>0</v>
      </c>
      <c r="M4" s="5"/>
    </row>
    <row r="5" spans="1:13" ht="15.75" thickBot="1">
      <c r="A5" s="280" t="s">
        <v>35</v>
      </c>
      <c r="B5" s="283"/>
      <c r="C5" s="284"/>
      <c r="D5" s="100">
        <v>12</v>
      </c>
      <c r="E5" s="100">
        <v>10</v>
      </c>
      <c r="F5" s="68"/>
      <c r="G5" s="4">
        <f>1/100*10</f>
        <v>0.1</v>
      </c>
      <c r="H5" s="4">
        <v>0</v>
      </c>
      <c r="I5" s="4">
        <f>6.1/100*10</f>
        <v>0.61</v>
      </c>
      <c r="J5" s="101">
        <f>29/100*10</f>
        <v>2.9</v>
      </c>
      <c r="K5" s="102"/>
      <c r="L5" s="4">
        <f>4/100*10</f>
        <v>0.4</v>
      </c>
      <c r="M5" s="5"/>
    </row>
    <row r="6" spans="1:13" ht="15.75" thickBot="1">
      <c r="A6" s="280" t="s">
        <v>39</v>
      </c>
      <c r="B6" s="281"/>
      <c r="C6" s="281"/>
      <c r="D6" s="100">
        <v>1</v>
      </c>
      <c r="E6" s="100">
        <v>1</v>
      </c>
      <c r="F6" s="100"/>
      <c r="G6" s="100">
        <v>0</v>
      </c>
      <c r="H6" s="100">
        <v>0</v>
      </c>
      <c r="I6" s="100">
        <v>1</v>
      </c>
      <c r="J6" s="91">
        <v>4</v>
      </c>
      <c r="K6" s="93"/>
      <c r="L6" s="100">
        <f>0.6/100*1</f>
        <v>6.0000000000000001E-3</v>
      </c>
      <c r="M6" s="100"/>
    </row>
    <row r="7" spans="1:13" ht="15.75" thickBot="1"/>
    <row r="8" spans="1:13" ht="15.75" thickBot="1">
      <c r="A8" s="278" t="s">
        <v>218</v>
      </c>
      <c r="B8" s="279"/>
      <c r="C8" s="279"/>
      <c r="D8" s="279"/>
      <c r="E8" s="298"/>
      <c r="F8" s="66">
        <v>50</v>
      </c>
      <c r="G8" s="3"/>
      <c r="H8" s="3"/>
      <c r="I8" s="3"/>
      <c r="J8" s="287"/>
      <c r="K8" s="288"/>
      <c r="L8" s="3"/>
      <c r="M8" s="66">
        <v>12</v>
      </c>
    </row>
    <row r="9" spans="1:13" ht="15.75" thickBot="1">
      <c r="A9" s="280" t="s">
        <v>217</v>
      </c>
      <c r="B9" s="281"/>
      <c r="C9" s="282"/>
      <c r="D9" s="15">
        <v>40</v>
      </c>
      <c r="E9" s="15">
        <v>30</v>
      </c>
      <c r="F9" s="72"/>
      <c r="G9" s="3">
        <f>2.2/100*30</f>
        <v>0.66</v>
      </c>
      <c r="H9" s="3">
        <v>0</v>
      </c>
      <c r="I9" s="3">
        <f>11.2/100*30</f>
        <v>3.3599999999999994</v>
      </c>
      <c r="J9" s="98">
        <f>58/100*30</f>
        <v>17.399999999999999</v>
      </c>
      <c r="K9" s="99"/>
      <c r="L9" s="3">
        <v>0</v>
      </c>
      <c r="M9" s="5"/>
    </row>
    <row r="10" spans="1:13" ht="15.75" thickBot="1">
      <c r="A10" s="280" t="s">
        <v>198</v>
      </c>
      <c r="B10" s="281"/>
      <c r="C10" s="282"/>
      <c r="D10" s="15">
        <v>12</v>
      </c>
      <c r="E10" s="15">
        <v>12</v>
      </c>
      <c r="F10" s="72"/>
      <c r="G10" s="3">
        <f>12.7/100*12</f>
        <v>1.524</v>
      </c>
      <c r="H10" s="3">
        <f>11.5/100*12</f>
        <v>1.3800000000000001</v>
      </c>
      <c r="I10" s="3">
        <f>0.7/100*12</f>
        <v>8.3999999999999991E-2</v>
      </c>
      <c r="J10" s="101">
        <f>241/100*12</f>
        <v>28.92</v>
      </c>
      <c r="K10" s="102"/>
      <c r="L10" s="3">
        <v>0</v>
      </c>
      <c r="M10" s="5"/>
    </row>
    <row r="11" spans="1:13" ht="15.75" thickBot="1">
      <c r="A11" s="280" t="s">
        <v>35</v>
      </c>
      <c r="B11" s="283"/>
      <c r="C11" s="284"/>
      <c r="D11" s="15">
        <v>7</v>
      </c>
      <c r="E11" s="15">
        <v>4.5</v>
      </c>
      <c r="F11" s="71"/>
      <c r="G11" s="3">
        <f>1/100*4.5</f>
        <v>4.4999999999999998E-2</v>
      </c>
      <c r="H11" s="3">
        <v>0</v>
      </c>
      <c r="I11" s="3">
        <f>6.1/100*4.5</f>
        <v>0.27449999999999997</v>
      </c>
      <c r="J11" s="101">
        <f>29/100*4.5</f>
        <v>1.3049999999999999</v>
      </c>
      <c r="K11" s="102"/>
      <c r="L11" s="3">
        <f>4/100*4.5</f>
        <v>0.18</v>
      </c>
      <c r="M11" s="5"/>
    </row>
    <row r="12" spans="1:13" ht="15.75" thickBot="1">
      <c r="A12" s="277" t="s">
        <v>209</v>
      </c>
      <c r="B12" s="277"/>
      <c r="C12" s="277"/>
      <c r="D12" s="15">
        <v>5</v>
      </c>
      <c r="E12" s="15">
        <v>4.5</v>
      </c>
      <c r="F12" s="72"/>
      <c r="G12" s="3">
        <f>0.2/100*4.5</f>
        <v>9.0000000000000011E-3</v>
      </c>
      <c r="H12" s="3">
        <v>0</v>
      </c>
      <c r="I12" s="3">
        <f>10/100*4.5</f>
        <v>0.45</v>
      </c>
      <c r="J12" s="101">
        <f>42/100*4.5</f>
        <v>1.89</v>
      </c>
      <c r="K12" s="102"/>
      <c r="L12" s="3">
        <f>8.5/100*4.5</f>
        <v>0.38250000000000001</v>
      </c>
      <c r="M12" s="5"/>
    </row>
    <row r="13" spans="1:13" ht="15.75" thickBot="1">
      <c r="A13" s="277" t="s">
        <v>211</v>
      </c>
      <c r="B13" s="277"/>
      <c r="C13" s="277"/>
      <c r="D13" s="15">
        <v>3</v>
      </c>
      <c r="E13" s="15">
        <v>3</v>
      </c>
      <c r="F13" s="72"/>
      <c r="G13" s="1">
        <v>0</v>
      </c>
      <c r="H13" s="1">
        <f>99.9/100*3</f>
        <v>2.9970000000000003</v>
      </c>
      <c r="I13" s="1">
        <v>0</v>
      </c>
      <c r="J13" s="98">
        <f>900/100*3</f>
        <v>27</v>
      </c>
      <c r="K13" s="99"/>
      <c r="L13" s="1">
        <v>0</v>
      </c>
      <c r="M13" s="68"/>
    </row>
    <row r="14" spans="1:13" ht="15.75" thickBot="1"/>
    <row r="15" spans="1:13" ht="15.75" thickBot="1">
      <c r="A15" s="94" t="s">
        <v>152</v>
      </c>
      <c r="B15" s="95"/>
      <c r="C15" s="95"/>
      <c r="D15" s="13"/>
      <c r="E15" s="14"/>
      <c r="F15" s="66">
        <v>60</v>
      </c>
      <c r="G15" s="3"/>
      <c r="H15" s="3"/>
      <c r="I15" s="3"/>
      <c r="J15" s="96"/>
      <c r="K15" s="97"/>
      <c r="L15" s="3"/>
      <c r="M15" s="5"/>
    </row>
    <row r="16" spans="1:13" ht="15.75" thickBot="1">
      <c r="A16" s="323" t="s">
        <v>219</v>
      </c>
      <c r="B16" s="324"/>
      <c r="C16" s="325"/>
      <c r="D16" s="88">
        <v>84</v>
      </c>
      <c r="E16" s="104">
        <v>63</v>
      </c>
      <c r="F16" s="66"/>
      <c r="G16" s="4">
        <f>3.1/100*63</f>
        <v>1.9530000000000001</v>
      </c>
      <c r="H16" s="4">
        <v>0</v>
      </c>
      <c r="I16" s="4">
        <f>6.5/100*63</f>
        <v>4.0949999999999998</v>
      </c>
      <c r="J16" s="103">
        <f>38.4/100*63</f>
        <v>24.192</v>
      </c>
      <c r="K16" s="102"/>
      <c r="L16" s="4">
        <f>25/100*63</f>
        <v>15.75</v>
      </c>
      <c r="M16" s="5"/>
    </row>
    <row r="17" spans="1:13" ht="15.75" thickBot="1">
      <c r="A17" s="277" t="s">
        <v>36</v>
      </c>
      <c r="B17" s="277"/>
      <c r="C17" s="277"/>
      <c r="D17" s="100">
        <v>2</v>
      </c>
      <c r="E17" s="100">
        <v>2</v>
      </c>
      <c r="F17" s="73"/>
      <c r="G17" s="4">
        <v>0</v>
      </c>
      <c r="H17" s="4">
        <f>99.9/100*2</f>
        <v>1.9980000000000002</v>
      </c>
      <c r="I17" s="4">
        <v>0</v>
      </c>
      <c r="J17" s="103">
        <f>900/100*2</f>
        <v>18</v>
      </c>
      <c r="K17" s="102"/>
      <c r="L17" s="4">
        <v>0</v>
      </c>
      <c r="M17" s="5"/>
    </row>
    <row r="18" spans="1:13" ht="15.75" thickBot="1">
      <c r="A18" s="277" t="s">
        <v>209</v>
      </c>
      <c r="B18" s="277"/>
      <c r="C18" s="277"/>
      <c r="D18" s="100">
        <v>12</v>
      </c>
      <c r="E18" s="100">
        <v>10</v>
      </c>
      <c r="F18" s="73"/>
      <c r="G18" s="4">
        <f>0.2/100*10</f>
        <v>0.02</v>
      </c>
      <c r="H18" s="4">
        <v>0</v>
      </c>
      <c r="I18" s="4">
        <f>10/100*10</f>
        <v>1</v>
      </c>
      <c r="J18" s="17">
        <f>42/100*10</f>
        <v>4.2</v>
      </c>
      <c r="K18" s="18"/>
      <c r="L18" s="4">
        <f>8.5/100*10</f>
        <v>0.85000000000000009</v>
      </c>
      <c r="M18" s="5"/>
    </row>
    <row r="19" spans="1:13" ht="15.75" thickBot="1">
      <c r="F19" s="46"/>
    </row>
    <row r="20" spans="1:13" ht="15.75" thickBot="1">
      <c r="A20" s="278" t="s">
        <v>220</v>
      </c>
      <c r="B20" s="279"/>
      <c r="C20" s="279"/>
      <c r="D20" s="279"/>
      <c r="E20" s="298"/>
      <c r="F20" s="66">
        <v>60</v>
      </c>
      <c r="G20" s="3"/>
      <c r="H20" s="3"/>
      <c r="I20" s="3"/>
      <c r="J20" s="287"/>
      <c r="K20" s="288"/>
      <c r="L20" s="3"/>
      <c r="M20" s="5"/>
    </row>
    <row r="21" spans="1:13" ht="15.75" thickBot="1">
      <c r="A21" s="277" t="s">
        <v>221</v>
      </c>
      <c r="B21" s="277"/>
      <c r="C21" s="277"/>
      <c r="D21" s="100">
        <v>40</v>
      </c>
      <c r="E21" s="100">
        <v>40</v>
      </c>
      <c r="F21" s="73"/>
      <c r="G21" s="4">
        <f>1/100*40</f>
        <v>0.4</v>
      </c>
      <c r="H21" s="4">
        <f>0.19/100*40</f>
        <v>7.5999999999999998E-2</v>
      </c>
      <c r="I21" s="4">
        <v>0</v>
      </c>
      <c r="J21" s="17">
        <f>5/100*40</f>
        <v>2</v>
      </c>
      <c r="K21" s="99"/>
      <c r="L21" s="4">
        <f>24/100*50</f>
        <v>12</v>
      </c>
      <c r="M21" s="68"/>
    </row>
    <row r="22" spans="1:13" ht="15.75" thickBot="1">
      <c r="A22" s="280" t="s">
        <v>35</v>
      </c>
      <c r="B22" s="283"/>
      <c r="C22" s="284"/>
      <c r="D22" s="100">
        <v>12</v>
      </c>
      <c r="E22" s="100">
        <v>10</v>
      </c>
      <c r="F22" s="73"/>
      <c r="G22" s="4">
        <f>1/100*10</f>
        <v>0.1</v>
      </c>
      <c r="H22" s="4">
        <v>0</v>
      </c>
      <c r="I22" s="4">
        <f>6.1/100*10</f>
        <v>0.61</v>
      </c>
      <c r="J22" s="130">
        <f>29/100*10</f>
        <v>2.9</v>
      </c>
      <c r="K22" s="102"/>
      <c r="L22" s="4">
        <v>0.4</v>
      </c>
      <c r="M22" s="68"/>
    </row>
    <row r="23" spans="1:13" ht="15.75" thickBot="1">
      <c r="A23" s="277" t="s">
        <v>209</v>
      </c>
      <c r="B23" s="277"/>
      <c r="C23" s="277"/>
      <c r="D23" s="100">
        <v>12</v>
      </c>
      <c r="E23" s="100">
        <v>10</v>
      </c>
      <c r="F23" s="73"/>
      <c r="G23" s="4">
        <f>0.2/100*10</f>
        <v>0.02</v>
      </c>
      <c r="H23" s="4">
        <v>0</v>
      </c>
      <c r="I23" s="4">
        <f>10/100*10</f>
        <v>1</v>
      </c>
      <c r="J23" s="130">
        <f>42/100*10</f>
        <v>4.2</v>
      </c>
      <c r="K23" s="102"/>
      <c r="L23" s="4">
        <f>8.5/100*10</f>
        <v>0.85000000000000009</v>
      </c>
      <c r="M23" s="68"/>
    </row>
    <row r="24" spans="1:13" ht="15.75" thickBot="1">
      <c r="A24" s="277" t="s">
        <v>211</v>
      </c>
      <c r="B24" s="277"/>
      <c r="C24" s="277"/>
      <c r="D24" s="100">
        <v>3</v>
      </c>
      <c r="E24" s="100">
        <v>3</v>
      </c>
      <c r="F24" s="73"/>
      <c r="G24" s="4">
        <v>0</v>
      </c>
      <c r="H24" s="4">
        <f>99.9/100*3</f>
        <v>2.9970000000000003</v>
      </c>
      <c r="I24" s="4">
        <v>0</v>
      </c>
      <c r="J24" s="17">
        <f>900/100*3</f>
        <v>27</v>
      </c>
      <c r="K24" s="99"/>
      <c r="L24" s="4">
        <v>0</v>
      </c>
      <c r="M24" s="68"/>
    </row>
    <row r="25" spans="1:13" ht="15.75" thickBot="1">
      <c r="F25" s="46"/>
    </row>
    <row r="26" spans="1:13" ht="15.75" thickBot="1">
      <c r="A26" s="278" t="s">
        <v>199</v>
      </c>
      <c r="B26" s="279"/>
      <c r="C26" s="279"/>
      <c r="D26" s="279"/>
      <c r="E26" s="298"/>
      <c r="F26" s="66">
        <v>60</v>
      </c>
      <c r="G26" s="3"/>
      <c r="H26" s="3"/>
      <c r="I26" s="3"/>
      <c r="J26" s="287"/>
      <c r="K26" s="288"/>
      <c r="L26" s="3"/>
      <c r="M26" s="5"/>
    </row>
    <row r="27" spans="1:13" ht="15.75" thickBot="1">
      <c r="A27" s="277" t="s">
        <v>222</v>
      </c>
      <c r="B27" s="277"/>
      <c r="C27" s="277"/>
      <c r="D27" s="15">
        <v>70</v>
      </c>
      <c r="E27" s="15">
        <v>50</v>
      </c>
      <c r="F27" s="73"/>
      <c r="G27" s="3">
        <f>0.8/100*50</f>
        <v>0.4</v>
      </c>
      <c r="H27" s="3">
        <v>0</v>
      </c>
      <c r="I27" s="3">
        <f>8.3/100*50</f>
        <v>4.1500000000000004</v>
      </c>
      <c r="J27" s="17">
        <f>37/100*50</f>
        <v>18.5</v>
      </c>
      <c r="K27" s="99"/>
      <c r="L27" s="3">
        <f>8/100*50</f>
        <v>4</v>
      </c>
      <c r="M27" s="5"/>
    </row>
    <row r="28" spans="1:13" ht="15.75" thickBot="1">
      <c r="A28" s="277" t="s">
        <v>39</v>
      </c>
      <c r="B28" s="277"/>
      <c r="C28" s="277"/>
      <c r="D28" s="15">
        <v>2.1</v>
      </c>
      <c r="E28" s="15">
        <v>2</v>
      </c>
      <c r="F28" s="73"/>
      <c r="G28" s="3">
        <f>6.5/100*2</f>
        <v>0.13</v>
      </c>
      <c r="H28" s="3">
        <f>0.5/100*2</f>
        <v>0.01</v>
      </c>
      <c r="I28" s="3">
        <f>29.9/100*2</f>
        <v>0.59799999999999998</v>
      </c>
      <c r="J28" s="130">
        <f>142/100*2</f>
        <v>2.84</v>
      </c>
      <c r="K28" s="102"/>
      <c r="L28" s="3">
        <f>31.2/100*2</f>
        <v>0.624</v>
      </c>
      <c r="M28" s="5"/>
    </row>
    <row r="29" spans="1:13" ht="15.75" thickBot="1">
      <c r="A29" s="277" t="s">
        <v>211</v>
      </c>
      <c r="B29" s="277"/>
      <c r="C29" s="277"/>
      <c r="D29" s="15">
        <v>3</v>
      </c>
      <c r="E29" s="15">
        <v>3</v>
      </c>
      <c r="F29" s="73"/>
      <c r="G29" s="1">
        <v>0</v>
      </c>
      <c r="H29" s="1">
        <f>99.9/100*3</f>
        <v>2.9970000000000003</v>
      </c>
      <c r="I29" s="1">
        <v>0</v>
      </c>
      <c r="J29" s="17">
        <f>900/100*3</f>
        <v>27</v>
      </c>
      <c r="K29" s="99"/>
      <c r="L29" s="1">
        <v>0</v>
      </c>
      <c r="M29" s="5"/>
    </row>
    <row r="30" spans="1:13" ht="15.75" thickBot="1">
      <c r="F30" s="46"/>
    </row>
    <row r="31" spans="1:13" ht="15.75" thickBot="1">
      <c r="A31" s="278" t="s">
        <v>200</v>
      </c>
      <c r="B31" s="279"/>
      <c r="C31" s="279"/>
      <c r="D31" s="279"/>
      <c r="E31" s="298"/>
      <c r="F31" s="66">
        <v>60</v>
      </c>
      <c r="G31" s="3"/>
      <c r="H31" s="3"/>
      <c r="I31" s="3"/>
      <c r="J31" s="285"/>
      <c r="K31" s="286"/>
      <c r="L31" s="3"/>
      <c r="M31" s="5"/>
    </row>
    <row r="32" spans="1:13" ht="15.75" thickBot="1">
      <c r="A32" s="277" t="s">
        <v>33</v>
      </c>
      <c r="B32" s="277"/>
      <c r="C32" s="277"/>
      <c r="D32" s="15">
        <v>26</v>
      </c>
      <c r="E32" s="15">
        <v>20</v>
      </c>
      <c r="F32" s="73"/>
      <c r="G32" s="3">
        <f>1.2/100*20</f>
        <v>0.24</v>
      </c>
      <c r="H32" s="3">
        <v>0</v>
      </c>
      <c r="I32" s="3">
        <f>14/100*20</f>
        <v>2.8000000000000003</v>
      </c>
      <c r="J32" s="17">
        <f>62/100*20</f>
        <v>12.4</v>
      </c>
      <c r="K32" s="99"/>
      <c r="L32" s="3">
        <f>7.5/100*20</f>
        <v>1.5</v>
      </c>
      <c r="M32" s="5"/>
    </row>
    <row r="33" spans="1:13" ht="15.75" thickBot="1">
      <c r="A33" s="277" t="s">
        <v>35</v>
      </c>
      <c r="B33" s="277"/>
      <c r="C33" s="277"/>
      <c r="D33" s="15">
        <v>12</v>
      </c>
      <c r="E33" s="15">
        <v>10</v>
      </c>
      <c r="F33" s="73"/>
      <c r="G33" s="3">
        <f>1/100*10</f>
        <v>0.1</v>
      </c>
      <c r="H33" s="3">
        <v>0</v>
      </c>
      <c r="I33" s="3">
        <f>6.1/100*10</f>
        <v>0.61</v>
      </c>
      <c r="J33" s="130">
        <f>29/100*10</f>
        <v>2.9</v>
      </c>
      <c r="K33" s="102"/>
      <c r="L33" s="3">
        <f>4/100*10</f>
        <v>0.4</v>
      </c>
      <c r="M33" s="5"/>
    </row>
    <row r="34" spans="1:13" ht="15.75" thickBot="1">
      <c r="A34" s="277" t="s">
        <v>125</v>
      </c>
      <c r="B34" s="277"/>
      <c r="C34" s="277"/>
      <c r="D34" s="15">
        <v>2</v>
      </c>
      <c r="E34" s="15">
        <v>2</v>
      </c>
      <c r="F34" s="73"/>
      <c r="G34" s="3">
        <f>0.8/100*2</f>
        <v>1.6E-2</v>
      </c>
      <c r="H34" s="3">
        <v>0</v>
      </c>
      <c r="I34" s="3">
        <f>3.3/100*2</f>
        <v>6.6000000000000003E-2</v>
      </c>
      <c r="J34" s="130">
        <f>17/100*2</f>
        <v>0.34</v>
      </c>
      <c r="K34" s="102"/>
      <c r="L34" s="3">
        <f>48/100*2</f>
        <v>0.96</v>
      </c>
      <c r="M34" s="5"/>
    </row>
    <row r="35" spans="1:13" ht="15.75" thickBot="1">
      <c r="A35" s="277" t="s">
        <v>223</v>
      </c>
      <c r="B35" s="277"/>
      <c r="C35" s="277"/>
      <c r="D35" s="15">
        <v>28</v>
      </c>
      <c r="E35" s="15">
        <v>15</v>
      </c>
      <c r="F35" s="73"/>
      <c r="G35" s="3">
        <f>18.2/100*15</f>
        <v>2.73</v>
      </c>
      <c r="H35" s="3">
        <f>18.4/100*15</f>
        <v>2.76</v>
      </c>
      <c r="I35" s="3">
        <f>0.7/100*15</f>
        <v>0.10499999999999998</v>
      </c>
      <c r="J35" s="130">
        <f>241/100*15</f>
        <v>36.150000000000006</v>
      </c>
      <c r="K35" s="102"/>
      <c r="L35" s="3">
        <v>0</v>
      </c>
      <c r="M35" s="5"/>
    </row>
    <row r="36" spans="1:13" ht="15.75" thickBot="1">
      <c r="A36" s="277" t="s">
        <v>219</v>
      </c>
      <c r="B36" s="277"/>
      <c r="C36" s="277"/>
      <c r="D36" s="15">
        <v>12</v>
      </c>
      <c r="E36" s="15">
        <v>12</v>
      </c>
      <c r="F36" s="73"/>
      <c r="G36" s="3">
        <f>2.2/100*12</f>
        <v>0.26400000000000001</v>
      </c>
      <c r="H36" s="3">
        <v>0</v>
      </c>
      <c r="I36" s="3">
        <f>11.2/100*12</f>
        <v>1.3439999999999999</v>
      </c>
      <c r="J36" s="130">
        <f>58/100*12</f>
        <v>6.9599999999999991</v>
      </c>
      <c r="K36" s="102"/>
      <c r="L36" s="3">
        <v>0</v>
      </c>
      <c r="M36" s="5"/>
    </row>
    <row r="37" spans="1:13" ht="15.75" thickBot="1">
      <c r="A37" s="280" t="s">
        <v>198</v>
      </c>
      <c r="B37" s="281"/>
      <c r="C37" s="281"/>
      <c r="D37" s="15">
        <v>10</v>
      </c>
      <c r="E37" s="15">
        <v>10</v>
      </c>
      <c r="F37" s="73"/>
      <c r="G37" s="3">
        <f>12.7/100*10</f>
        <v>1.27</v>
      </c>
      <c r="H37" s="3">
        <f>11.5/100*10</f>
        <v>1.1500000000000001</v>
      </c>
      <c r="I37" s="3">
        <f>0.7/100*10</f>
        <v>6.9999999999999993E-2</v>
      </c>
      <c r="J37" s="130">
        <f>241/100*10</f>
        <v>24.1</v>
      </c>
      <c r="K37" s="102"/>
      <c r="L37" s="3">
        <v>0</v>
      </c>
      <c r="M37" s="5"/>
    </row>
    <row r="38" spans="1:13" ht="15.75" thickBot="1">
      <c r="A38" s="145"/>
      <c r="B38" s="146" t="s">
        <v>226</v>
      </c>
      <c r="C38" s="146"/>
      <c r="D38" s="15">
        <v>17</v>
      </c>
      <c r="E38" s="15">
        <v>17</v>
      </c>
      <c r="F38" s="73"/>
      <c r="G38" s="3">
        <v>0.09</v>
      </c>
      <c r="H38" s="3">
        <f>18.4/100*15</f>
        <v>2.76</v>
      </c>
      <c r="I38" s="3">
        <v>0.17</v>
      </c>
      <c r="J38" s="153">
        <v>1.05</v>
      </c>
      <c r="K38" s="149"/>
      <c r="L38" s="3">
        <v>0</v>
      </c>
      <c r="M38" s="5"/>
    </row>
    <row r="39" spans="1:13" ht="15.75" thickBot="1">
      <c r="A39" s="277" t="s">
        <v>211</v>
      </c>
      <c r="B39" s="277"/>
      <c r="C39" s="277"/>
      <c r="D39" s="15">
        <v>3</v>
      </c>
      <c r="E39" s="15">
        <v>3</v>
      </c>
      <c r="F39" s="73"/>
      <c r="G39" s="1">
        <v>0</v>
      </c>
      <c r="H39" s="1">
        <f>99.9/100*3</f>
        <v>2.9970000000000003</v>
      </c>
      <c r="I39" s="1">
        <v>0</v>
      </c>
      <c r="J39" s="17">
        <f>900/100*3</f>
        <v>27</v>
      </c>
      <c r="K39" s="99"/>
      <c r="L39" s="1">
        <v>0</v>
      </c>
      <c r="M39" s="5"/>
    </row>
    <row r="40" spans="1:13" ht="15.75" thickBot="1">
      <c r="F40" s="46"/>
      <c r="J40" s="27"/>
      <c r="K40" s="27"/>
    </row>
    <row r="41" spans="1:13" ht="15.75" thickBot="1">
      <c r="A41" s="278" t="s">
        <v>201</v>
      </c>
      <c r="B41" s="279"/>
      <c r="C41" s="279"/>
      <c r="D41" s="279"/>
      <c r="E41" s="298"/>
      <c r="F41" s="66">
        <v>60</v>
      </c>
      <c r="G41" s="3"/>
      <c r="H41" s="3"/>
      <c r="I41" s="3"/>
      <c r="J41" s="287"/>
      <c r="K41" s="288"/>
      <c r="L41" s="3"/>
      <c r="M41" s="5"/>
    </row>
    <row r="42" spans="1:13" ht="15.75" thickBot="1">
      <c r="A42" s="280" t="s">
        <v>224</v>
      </c>
      <c r="B42" s="281"/>
      <c r="C42" s="282"/>
      <c r="D42" s="15">
        <v>40</v>
      </c>
      <c r="E42" s="15">
        <v>30</v>
      </c>
      <c r="F42" s="73"/>
      <c r="G42" s="3">
        <f>1/100*30</f>
        <v>0.3</v>
      </c>
      <c r="H42" s="3">
        <f>10/100*30</f>
        <v>3</v>
      </c>
      <c r="I42" s="3">
        <f>7/100*30</f>
        <v>2.1</v>
      </c>
      <c r="J42" s="17">
        <f>122/100*30</f>
        <v>36.6</v>
      </c>
      <c r="K42" s="99"/>
      <c r="L42" s="3">
        <v>0</v>
      </c>
      <c r="M42" s="5"/>
    </row>
    <row r="43" spans="1:13" ht="15.75" thickBot="1">
      <c r="A43" s="280" t="s">
        <v>198</v>
      </c>
      <c r="B43" s="281"/>
      <c r="C43" s="282"/>
      <c r="D43" s="15">
        <v>13</v>
      </c>
      <c r="E43" s="15">
        <v>13</v>
      </c>
      <c r="F43" s="73"/>
      <c r="G43" s="3">
        <f>12.7/100*13</f>
        <v>1.651</v>
      </c>
      <c r="H43" s="3">
        <f>11.5/100*13</f>
        <v>1.4950000000000001</v>
      </c>
      <c r="I43" s="3">
        <f>0.7/100*13</f>
        <v>9.0999999999999998E-2</v>
      </c>
      <c r="J43" s="103">
        <f>241/100*13</f>
        <v>31.330000000000002</v>
      </c>
      <c r="K43" s="102"/>
      <c r="L43" s="3">
        <v>0</v>
      </c>
      <c r="M43" s="5"/>
    </row>
    <row r="44" spans="1:13" ht="15.75" thickBot="1">
      <c r="A44" s="280" t="s">
        <v>35</v>
      </c>
      <c r="B44" s="283"/>
      <c r="C44" s="284"/>
      <c r="D44" s="15">
        <v>16</v>
      </c>
      <c r="E44" s="15">
        <v>10</v>
      </c>
      <c r="F44" s="66"/>
      <c r="G44" s="3">
        <f>1/100*10</f>
        <v>0.1</v>
      </c>
      <c r="H44" s="3">
        <v>0</v>
      </c>
      <c r="I44" s="3">
        <f>6.1/100*10</f>
        <v>0.61</v>
      </c>
      <c r="J44" s="103">
        <f>29/100*10</f>
        <v>2.9</v>
      </c>
      <c r="K44" s="102"/>
      <c r="L44" s="3">
        <f>4/100*10</f>
        <v>0.4</v>
      </c>
      <c r="M44" s="5"/>
    </row>
    <row r="45" spans="1:13" ht="15.75" thickBot="1">
      <c r="A45" s="277" t="s">
        <v>209</v>
      </c>
      <c r="B45" s="277"/>
      <c r="C45" s="277"/>
      <c r="D45" s="15">
        <v>12</v>
      </c>
      <c r="E45" s="15">
        <v>10</v>
      </c>
      <c r="F45" s="73"/>
      <c r="G45" s="3">
        <f>0.2/100*10</f>
        <v>0.02</v>
      </c>
      <c r="H45" s="3">
        <v>0</v>
      </c>
      <c r="I45" s="3">
        <f>10/100*10</f>
        <v>1</v>
      </c>
      <c r="J45" s="103">
        <f>42/100*10</f>
        <v>4.2</v>
      </c>
      <c r="K45" s="102"/>
      <c r="L45" s="3">
        <f>8.5/100*10</f>
        <v>0.85000000000000009</v>
      </c>
      <c r="M45" s="5"/>
    </row>
    <row r="46" spans="1:13" ht="15.75" thickBot="1">
      <c r="A46" s="280" t="s">
        <v>214</v>
      </c>
      <c r="B46" s="281"/>
      <c r="C46" s="282"/>
      <c r="D46" s="15">
        <v>3</v>
      </c>
      <c r="E46" s="15">
        <v>3</v>
      </c>
      <c r="F46" s="73"/>
      <c r="G46" s="3">
        <f>0.8/100*3</f>
        <v>2.4E-2</v>
      </c>
      <c r="H46" s="3">
        <v>0</v>
      </c>
      <c r="I46" s="3">
        <f>3.3/100*3</f>
        <v>9.9000000000000005E-2</v>
      </c>
      <c r="J46" s="103">
        <f>17/100*3</f>
        <v>0.51</v>
      </c>
      <c r="K46" s="102"/>
      <c r="L46" s="3">
        <f>48/100*3</f>
        <v>1.44</v>
      </c>
      <c r="M46" s="5"/>
    </row>
    <row r="47" spans="1:13" ht="15.75" thickBot="1">
      <c r="A47" s="277" t="s">
        <v>211</v>
      </c>
      <c r="B47" s="277"/>
      <c r="C47" s="277"/>
      <c r="D47" s="15">
        <v>3</v>
      </c>
      <c r="E47" s="15">
        <v>3</v>
      </c>
      <c r="F47" s="73"/>
      <c r="G47" s="1">
        <v>0</v>
      </c>
      <c r="H47" s="1">
        <f>99.9/100*3</f>
        <v>2.9970000000000003</v>
      </c>
      <c r="I47" s="1">
        <v>0</v>
      </c>
      <c r="J47" s="17">
        <f>900/100*3</f>
        <v>27</v>
      </c>
      <c r="K47" s="18"/>
      <c r="L47" s="1">
        <v>0</v>
      </c>
      <c r="M47" s="5"/>
    </row>
    <row r="48" spans="1:13" ht="15.75" thickBot="1">
      <c r="F48" s="46"/>
    </row>
    <row r="49" spans="1:13" ht="15.75" thickBot="1">
      <c r="A49" s="278" t="s">
        <v>225</v>
      </c>
      <c r="B49" s="279"/>
      <c r="C49" s="279"/>
      <c r="D49" s="279"/>
      <c r="E49" s="298"/>
      <c r="F49" s="66">
        <v>60</v>
      </c>
      <c r="G49" s="3"/>
      <c r="H49" s="3"/>
      <c r="I49" s="3"/>
      <c r="J49" s="285"/>
      <c r="K49" s="286"/>
      <c r="L49" s="3"/>
      <c r="M49" s="5"/>
    </row>
    <row r="50" spans="1:13" ht="15.75" thickBot="1">
      <c r="A50" s="277" t="s">
        <v>33</v>
      </c>
      <c r="B50" s="277"/>
      <c r="C50" s="277"/>
      <c r="D50" s="15">
        <v>36</v>
      </c>
      <c r="E50" s="15">
        <v>30</v>
      </c>
      <c r="F50" s="73"/>
      <c r="G50" s="3">
        <v>0.36</v>
      </c>
      <c r="H50" s="3">
        <v>0</v>
      </c>
      <c r="I50" s="3">
        <v>4.2</v>
      </c>
      <c r="J50" s="17">
        <v>18.600000000000001</v>
      </c>
      <c r="K50" s="18"/>
      <c r="L50" s="3">
        <v>2.25</v>
      </c>
      <c r="M50" s="5"/>
    </row>
    <row r="51" spans="1:13" ht="15.75" thickBot="1">
      <c r="A51" s="277" t="s">
        <v>35</v>
      </c>
      <c r="B51" s="277"/>
      <c r="C51" s="277"/>
      <c r="D51" s="15">
        <v>12</v>
      </c>
      <c r="E51" s="15">
        <v>10</v>
      </c>
      <c r="F51" s="73"/>
      <c r="G51" s="3">
        <f>1/100*10</f>
        <v>0.1</v>
      </c>
      <c r="H51" s="3">
        <v>0</v>
      </c>
      <c r="I51" s="3">
        <f>6.1/100*10</f>
        <v>0.61</v>
      </c>
      <c r="J51" s="130">
        <f>29/100*10</f>
        <v>2.9</v>
      </c>
      <c r="K51" s="102"/>
      <c r="L51" s="3">
        <f>4/100*10</f>
        <v>0.4</v>
      </c>
      <c r="M51" s="5"/>
    </row>
    <row r="52" spans="1:13" ht="15.75" thickBot="1">
      <c r="A52" s="277" t="s">
        <v>125</v>
      </c>
      <c r="B52" s="277"/>
      <c r="C52" s="277"/>
      <c r="D52" s="15">
        <v>3</v>
      </c>
      <c r="E52" s="15">
        <v>3</v>
      </c>
      <c r="F52" s="73"/>
      <c r="G52" s="3">
        <f>0.8/100*3</f>
        <v>2.4E-2</v>
      </c>
      <c r="H52" s="3">
        <v>0</v>
      </c>
      <c r="I52" s="3">
        <f>3.3/100*3</f>
        <v>9.9000000000000005E-2</v>
      </c>
      <c r="J52" s="130">
        <f>17/100*3</f>
        <v>0.51</v>
      </c>
      <c r="K52" s="102"/>
      <c r="L52" s="3">
        <f>48/100*3</f>
        <v>1.44</v>
      </c>
      <c r="M52" s="5"/>
    </row>
    <row r="53" spans="1:13" ht="15.75" thickBot="1">
      <c r="A53" s="277" t="s">
        <v>226</v>
      </c>
      <c r="B53" s="277"/>
      <c r="C53" s="277"/>
      <c r="D53" s="15">
        <v>15</v>
      </c>
      <c r="E53" s="15">
        <v>15</v>
      </c>
      <c r="F53" s="73"/>
      <c r="G53" s="3">
        <v>0.09</v>
      </c>
      <c r="H53" s="3">
        <f>18.4/100*15</f>
        <v>2.76</v>
      </c>
      <c r="I53" s="3">
        <v>0.17</v>
      </c>
      <c r="J53" s="130">
        <v>1.05</v>
      </c>
      <c r="K53" s="102"/>
      <c r="L53" s="3">
        <v>0</v>
      </c>
      <c r="M53" s="5"/>
    </row>
    <row r="54" spans="1:13" ht="15.75" thickBot="1">
      <c r="A54" s="277" t="s">
        <v>219</v>
      </c>
      <c r="B54" s="277"/>
      <c r="C54" s="277"/>
      <c r="D54" s="15">
        <v>7</v>
      </c>
      <c r="E54" s="15">
        <v>7</v>
      </c>
      <c r="F54" s="73"/>
      <c r="G54" s="3">
        <v>0.22</v>
      </c>
      <c r="H54" s="3">
        <v>0</v>
      </c>
      <c r="I54" s="3">
        <v>0.46</v>
      </c>
      <c r="J54" s="130">
        <v>2.69</v>
      </c>
      <c r="K54" s="102"/>
      <c r="L54" s="3">
        <v>0</v>
      </c>
      <c r="M54" s="5"/>
    </row>
    <row r="55" spans="1:13" ht="15.75" thickBot="1">
      <c r="A55" s="280" t="s">
        <v>222</v>
      </c>
      <c r="B55" s="281"/>
      <c r="C55" s="281"/>
      <c r="D55" s="15">
        <v>47</v>
      </c>
      <c r="E55" s="15">
        <v>40</v>
      </c>
      <c r="F55" s="73"/>
      <c r="G55" s="3">
        <v>0.32</v>
      </c>
      <c r="H55" s="3">
        <f>11.5/100*10</f>
        <v>1.1500000000000001</v>
      </c>
      <c r="I55" s="3">
        <v>3.32</v>
      </c>
      <c r="J55" s="130">
        <v>14.8</v>
      </c>
      <c r="K55" s="102"/>
      <c r="L55" s="3">
        <v>0</v>
      </c>
      <c r="M55" s="5"/>
    </row>
    <row r="56" spans="1:13" ht="15.75" thickBot="1">
      <c r="A56" s="91"/>
      <c r="B56" s="146" t="s">
        <v>209</v>
      </c>
      <c r="C56" s="92"/>
      <c r="D56" s="15">
        <v>7</v>
      </c>
      <c r="E56" s="15">
        <v>5</v>
      </c>
      <c r="F56" s="73"/>
      <c r="G56" s="3">
        <f>0.2/100*5</f>
        <v>0.01</v>
      </c>
      <c r="H56" s="3">
        <v>0</v>
      </c>
      <c r="I56" s="3">
        <f>10/100*5</f>
        <v>0.5</v>
      </c>
      <c r="J56" s="153">
        <f>42/100*5</f>
        <v>2.1</v>
      </c>
      <c r="K56" s="149"/>
      <c r="L56" s="3">
        <f>8.5/100*5</f>
        <v>0.42500000000000004</v>
      </c>
      <c r="M56" s="5"/>
    </row>
    <row r="57" spans="1:13" ht="15.75" thickBot="1">
      <c r="A57" s="277" t="s">
        <v>211</v>
      </c>
      <c r="B57" s="277"/>
      <c r="C57" s="277"/>
      <c r="D57" s="15">
        <v>6</v>
      </c>
      <c r="E57" s="15">
        <v>6</v>
      </c>
      <c r="F57" s="73"/>
      <c r="G57" s="1">
        <v>0</v>
      </c>
      <c r="H57" s="1">
        <v>5.99</v>
      </c>
      <c r="I57" s="1">
        <v>0</v>
      </c>
      <c r="J57" s="17">
        <v>54</v>
      </c>
      <c r="K57" s="18"/>
      <c r="L57" s="1">
        <v>0</v>
      </c>
      <c r="M57" s="5"/>
    </row>
    <row r="58" spans="1:13" ht="15.75" thickBot="1">
      <c r="F58" s="46"/>
    </row>
    <row r="59" spans="1:13" ht="15.75" thickBot="1">
      <c r="A59" s="278" t="s">
        <v>153</v>
      </c>
      <c r="B59" s="279"/>
      <c r="C59" s="279"/>
      <c r="D59" s="279"/>
      <c r="E59" s="298"/>
      <c r="F59" s="66">
        <v>50</v>
      </c>
      <c r="G59" s="3"/>
      <c r="H59" s="3"/>
      <c r="I59" s="3"/>
      <c r="J59" s="287"/>
      <c r="K59" s="288"/>
      <c r="L59" s="3"/>
      <c r="M59" s="5"/>
    </row>
    <row r="60" spans="1:13" ht="15.75" thickBot="1">
      <c r="A60" s="277" t="s">
        <v>33</v>
      </c>
      <c r="B60" s="277"/>
      <c r="C60" s="277"/>
      <c r="D60" s="15">
        <v>60</v>
      </c>
      <c r="E60" s="15">
        <v>50</v>
      </c>
      <c r="F60" s="73"/>
      <c r="G60" s="3">
        <f>1.2/100*50</f>
        <v>0.6</v>
      </c>
      <c r="H60" s="3">
        <v>0</v>
      </c>
      <c r="I60" s="3">
        <f>14/100*50</f>
        <v>7.0000000000000009</v>
      </c>
      <c r="J60" s="17">
        <f>62/100*50</f>
        <v>31</v>
      </c>
      <c r="K60" s="18"/>
      <c r="L60" s="3">
        <f>7.5/100*50</f>
        <v>3.75</v>
      </c>
      <c r="M60" s="5"/>
    </row>
    <row r="61" spans="1:13" ht="15.75" thickBot="1">
      <c r="A61" s="277" t="s">
        <v>209</v>
      </c>
      <c r="B61" s="277"/>
      <c r="C61" s="277"/>
      <c r="D61" s="15">
        <v>12</v>
      </c>
      <c r="E61" s="15">
        <v>10</v>
      </c>
      <c r="F61" s="73"/>
      <c r="G61" s="3">
        <f>6.5/100*10</f>
        <v>0.65</v>
      </c>
      <c r="H61" s="3">
        <f>0.5/100*10</f>
        <v>0.05</v>
      </c>
      <c r="I61" s="3">
        <f>29.9/100*10</f>
        <v>2.9899999999999998</v>
      </c>
      <c r="J61" s="130">
        <f>142/100*10</f>
        <v>14.2</v>
      </c>
      <c r="K61" s="102"/>
      <c r="L61" s="3">
        <f>31.2/100*10</f>
        <v>3.12</v>
      </c>
      <c r="M61" s="5"/>
    </row>
    <row r="62" spans="1:13" ht="15.75" thickBot="1">
      <c r="A62" s="280" t="s">
        <v>214</v>
      </c>
      <c r="B62" s="281"/>
      <c r="C62" s="282"/>
      <c r="D62" s="15">
        <v>6</v>
      </c>
      <c r="E62" s="15">
        <v>5.6</v>
      </c>
      <c r="F62" s="73"/>
      <c r="G62" s="3">
        <f>0.8/100*3</f>
        <v>2.4E-2</v>
      </c>
      <c r="H62" s="3">
        <v>0</v>
      </c>
      <c r="I62" s="3">
        <f>3.3/100*3</f>
        <v>9.9000000000000005E-2</v>
      </c>
      <c r="J62" s="153">
        <f>17/100*3</f>
        <v>0.51</v>
      </c>
      <c r="K62" s="149"/>
      <c r="L62" s="3">
        <f>48/100*3</f>
        <v>1.44</v>
      </c>
      <c r="M62" s="5"/>
    </row>
    <row r="63" spans="1:13" ht="15.75" thickBot="1">
      <c r="A63" s="277" t="s">
        <v>60</v>
      </c>
      <c r="B63" s="277"/>
      <c r="C63" s="277"/>
      <c r="D63" s="15">
        <v>3</v>
      </c>
      <c r="E63" s="15">
        <v>3</v>
      </c>
      <c r="F63" s="73"/>
      <c r="G63" s="1">
        <v>0</v>
      </c>
      <c r="H63" s="1">
        <f>99.9/100*3</f>
        <v>2.9970000000000003</v>
      </c>
      <c r="I63" s="1">
        <v>0</v>
      </c>
      <c r="J63" s="17">
        <f>900/100*3</f>
        <v>27</v>
      </c>
      <c r="K63" s="18"/>
      <c r="L63" s="1">
        <v>0</v>
      </c>
      <c r="M63" s="5"/>
    </row>
    <row r="64" spans="1:13" ht="15.75" thickBot="1">
      <c r="F64" s="46"/>
    </row>
    <row r="65" spans="1:13" ht="15.75" thickBot="1">
      <c r="A65" s="278" t="s">
        <v>154</v>
      </c>
      <c r="B65" s="279"/>
      <c r="C65" s="279"/>
      <c r="D65" s="279"/>
      <c r="E65" s="298"/>
      <c r="F65" s="66">
        <v>50</v>
      </c>
      <c r="G65" s="3"/>
      <c r="H65" s="3"/>
      <c r="I65" s="3"/>
      <c r="J65" s="315"/>
      <c r="K65" s="316"/>
      <c r="L65" s="3"/>
      <c r="M65" s="5"/>
    </row>
    <row r="66" spans="1:13" ht="15.75" thickBot="1">
      <c r="A66" s="277" t="s">
        <v>228</v>
      </c>
      <c r="B66" s="277"/>
      <c r="C66" s="277"/>
      <c r="D66" s="15">
        <v>50</v>
      </c>
      <c r="E66" s="15">
        <v>50</v>
      </c>
      <c r="F66" s="73"/>
      <c r="G66" s="3">
        <v>0.35</v>
      </c>
      <c r="H66" s="3">
        <v>0</v>
      </c>
      <c r="I66" s="3">
        <v>1.35</v>
      </c>
      <c r="J66" s="17">
        <v>7</v>
      </c>
      <c r="K66" s="18"/>
      <c r="L66" s="3">
        <v>2.35</v>
      </c>
      <c r="M66" s="5"/>
    </row>
    <row r="67" spans="1:13" ht="15.75" thickBot="1">
      <c r="F67" s="46"/>
    </row>
    <row r="68" spans="1:13" ht="15.75" thickBot="1">
      <c r="A68" s="278" t="s">
        <v>202</v>
      </c>
      <c r="B68" s="279"/>
      <c r="C68" s="279"/>
      <c r="D68" s="279"/>
      <c r="E68" s="298"/>
      <c r="F68" s="66">
        <v>60</v>
      </c>
      <c r="G68" s="3"/>
      <c r="H68" s="3"/>
      <c r="I68" s="3"/>
      <c r="J68" s="287"/>
      <c r="K68" s="288"/>
      <c r="L68" s="3"/>
      <c r="M68" s="5"/>
    </row>
    <row r="69" spans="1:13" ht="15.75" thickBot="1">
      <c r="A69" s="277" t="s">
        <v>227</v>
      </c>
      <c r="B69" s="277"/>
      <c r="C69" s="277"/>
      <c r="D69" s="15">
        <v>68.400000000000006</v>
      </c>
      <c r="E69" s="15">
        <v>54.6</v>
      </c>
      <c r="F69" s="73"/>
      <c r="G69" s="3">
        <f>0.175/100*54.4</f>
        <v>9.5199999999999993E-2</v>
      </c>
      <c r="H69" s="3">
        <v>0</v>
      </c>
      <c r="I69" s="3">
        <f>0.675/100*54.6</f>
        <v>0.36855000000000004</v>
      </c>
      <c r="J69" s="17">
        <f>3.5/100*54.6</f>
        <v>1.9110000000000003</v>
      </c>
      <c r="K69" s="99"/>
      <c r="L69" s="3">
        <f>1.175/100*54.6</f>
        <v>0.64155000000000006</v>
      </c>
      <c r="M69" s="5"/>
    </row>
    <row r="70" spans="1:13" ht="15.75" thickBot="1">
      <c r="A70" s="277" t="s">
        <v>211</v>
      </c>
      <c r="B70" s="277"/>
      <c r="C70" s="277"/>
      <c r="D70" s="15">
        <v>6</v>
      </c>
      <c r="E70" s="15">
        <v>6</v>
      </c>
      <c r="F70" s="73"/>
      <c r="G70" s="1">
        <v>0</v>
      </c>
      <c r="H70" s="1">
        <f>99.9/100*6</f>
        <v>5.9940000000000007</v>
      </c>
      <c r="I70" s="1">
        <v>0</v>
      </c>
      <c r="J70" s="17">
        <f>900/100*6</f>
        <v>54</v>
      </c>
      <c r="K70" s="99"/>
      <c r="L70" s="1">
        <v>0</v>
      </c>
      <c r="M70" s="5"/>
    </row>
    <row r="71" spans="1:13" ht="15.75" thickBot="1">
      <c r="F71" s="46"/>
    </row>
    <row r="72" spans="1:13" ht="15.75" thickBot="1">
      <c r="A72" s="278" t="s">
        <v>203</v>
      </c>
      <c r="B72" s="279"/>
      <c r="C72" s="279"/>
      <c r="D72" s="279"/>
      <c r="E72" s="298"/>
      <c r="F72" s="66">
        <v>60</v>
      </c>
      <c r="G72" s="3"/>
      <c r="H72" s="3"/>
      <c r="I72" s="3"/>
      <c r="J72" s="287"/>
      <c r="K72" s="288"/>
      <c r="L72" s="3"/>
      <c r="M72" s="5"/>
    </row>
    <row r="73" spans="1:13" ht="15.75" thickBot="1">
      <c r="A73" s="277" t="s">
        <v>229</v>
      </c>
      <c r="B73" s="277"/>
      <c r="C73" s="277"/>
      <c r="D73" s="15">
        <v>64.8</v>
      </c>
      <c r="E73" s="15">
        <v>54.6</v>
      </c>
      <c r="F73" s="73"/>
      <c r="G73" s="3">
        <f>0.1/100*E73</f>
        <v>5.4600000000000003E-2</v>
      </c>
      <c r="H73" s="3">
        <v>0</v>
      </c>
      <c r="I73" s="3">
        <f>0.85/100*E73</f>
        <v>0.46410000000000007</v>
      </c>
      <c r="J73" s="17">
        <f>3.75/100*E73</f>
        <v>2.0474999999999999</v>
      </c>
      <c r="K73" s="99"/>
      <c r="L73" s="3">
        <f>8.5/100*E73</f>
        <v>4.641</v>
      </c>
      <c r="M73" s="5"/>
    </row>
    <row r="74" spans="1:13" ht="15.75" thickBot="1">
      <c r="A74" s="277" t="s">
        <v>60</v>
      </c>
      <c r="B74" s="277"/>
      <c r="C74" s="277"/>
      <c r="D74" s="15">
        <v>6</v>
      </c>
      <c r="E74" s="15">
        <v>6</v>
      </c>
      <c r="F74" s="73"/>
      <c r="G74" s="1">
        <v>0</v>
      </c>
      <c r="H74" s="1">
        <f>99.9/100*6</f>
        <v>5.9940000000000007</v>
      </c>
      <c r="I74" s="1">
        <v>0</v>
      </c>
      <c r="J74" s="17">
        <f>900/100*6</f>
        <v>54</v>
      </c>
      <c r="K74" s="99"/>
      <c r="L74" s="1">
        <v>0</v>
      </c>
      <c r="M74" s="5"/>
    </row>
    <row r="75" spans="1:13" ht="15.75" thickBot="1">
      <c r="F75" s="46"/>
    </row>
    <row r="76" spans="1:13" ht="15.75" thickBot="1">
      <c r="A76" s="94" t="s">
        <v>136</v>
      </c>
      <c r="B76" s="95"/>
      <c r="C76" s="95"/>
      <c r="D76" s="13"/>
      <c r="E76" s="14"/>
      <c r="F76" s="66">
        <v>60</v>
      </c>
      <c r="G76" s="3"/>
      <c r="H76" s="3"/>
      <c r="I76" s="3"/>
      <c r="J76" s="17"/>
      <c r="K76" s="18"/>
      <c r="L76" s="3"/>
      <c r="M76" s="5"/>
    </row>
    <row r="77" spans="1:13" ht="15.75" thickBot="1">
      <c r="A77" s="280" t="s">
        <v>32</v>
      </c>
      <c r="B77" s="281"/>
      <c r="C77" s="282"/>
      <c r="D77" s="100">
        <v>60</v>
      </c>
      <c r="E77" s="100">
        <v>48</v>
      </c>
      <c r="F77" s="73"/>
      <c r="G77" s="4">
        <f>1.2/100*48</f>
        <v>0.57600000000000007</v>
      </c>
      <c r="H77" s="4">
        <v>0</v>
      </c>
      <c r="I77" s="4">
        <f>4.1/100*48</f>
        <v>1.9679999999999997</v>
      </c>
      <c r="J77" s="130">
        <f>22/100*48</f>
        <v>10.56</v>
      </c>
      <c r="K77" s="102"/>
      <c r="L77" s="4">
        <f>24/100*48</f>
        <v>11.52</v>
      </c>
      <c r="M77" s="5"/>
    </row>
    <row r="78" spans="1:13" ht="15.75" thickBot="1">
      <c r="A78" s="280" t="s">
        <v>36</v>
      </c>
      <c r="B78" s="281"/>
      <c r="C78" s="282"/>
      <c r="D78" s="100">
        <v>4</v>
      </c>
      <c r="E78" s="100">
        <v>4</v>
      </c>
      <c r="F78" s="73"/>
      <c r="G78" s="4">
        <v>0</v>
      </c>
      <c r="H78" s="4">
        <f>99.9/100*4</f>
        <v>3.9960000000000004</v>
      </c>
      <c r="I78" s="4">
        <v>0</v>
      </c>
      <c r="J78" s="130">
        <f>900/100*4</f>
        <v>36</v>
      </c>
      <c r="K78" s="102"/>
      <c r="L78" s="4">
        <v>0</v>
      </c>
      <c r="M78" s="5"/>
    </row>
    <row r="79" spans="1:13" ht="15.75" thickBot="1">
      <c r="A79" s="280" t="s">
        <v>35</v>
      </c>
      <c r="B79" s="283"/>
      <c r="C79" s="284"/>
      <c r="D79" s="100">
        <v>10</v>
      </c>
      <c r="E79" s="100">
        <v>7.5</v>
      </c>
      <c r="F79" s="66"/>
      <c r="G79" s="4">
        <f>1/100*7.5</f>
        <v>7.4999999999999997E-2</v>
      </c>
      <c r="H79" s="4">
        <v>0</v>
      </c>
      <c r="I79" s="4">
        <f>6.1/100*7.5</f>
        <v>0.45750000000000002</v>
      </c>
      <c r="J79" s="130">
        <f>29/100*7.5</f>
        <v>2.1749999999999998</v>
      </c>
      <c r="K79" s="102"/>
      <c r="L79" s="4">
        <f>4/100*7.5</f>
        <v>0.3</v>
      </c>
      <c r="M79" s="5"/>
    </row>
    <row r="80" spans="1:13" ht="15.75" thickBot="1">
      <c r="A80" s="280" t="s">
        <v>24</v>
      </c>
      <c r="B80" s="281"/>
      <c r="C80" s="281"/>
      <c r="D80" s="100">
        <v>2</v>
      </c>
      <c r="E80" s="100">
        <v>2</v>
      </c>
      <c r="F80" s="65"/>
      <c r="G80" s="100">
        <v>0</v>
      </c>
      <c r="H80" s="100">
        <v>0</v>
      </c>
      <c r="I80" s="100">
        <v>2</v>
      </c>
      <c r="J80" s="132">
        <v>8</v>
      </c>
      <c r="K80" s="93"/>
      <c r="L80" s="100">
        <f>0.6/100*2</f>
        <v>1.2E-2</v>
      </c>
      <c r="M80" s="100"/>
    </row>
    <row r="81" spans="1:13" ht="15.75" thickBot="1"/>
    <row r="82" spans="1:13" ht="15.75" thickBot="1">
      <c r="A82" s="160" t="s">
        <v>245</v>
      </c>
      <c r="B82" s="161"/>
      <c r="C82" s="161"/>
      <c r="D82" s="13"/>
      <c r="E82" s="14"/>
      <c r="F82" s="66">
        <v>30</v>
      </c>
      <c r="G82" s="3">
        <f>1/100*30</f>
        <v>0.3</v>
      </c>
      <c r="H82" s="3">
        <f>7/100*30</f>
        <v>2.1</v>
      </c>
      <c r="I82" s="3">
        <f>7/100*30</f>
        <v>2.1</v>
      </c>
      <c r="J82" s="179">
        <f>95/100*30</f>
        <v>28.5</v>
      </c>
      <c r="K82" s="180"/>
      <c r="L82" s="3">
        <v>0</v>
      </c>
      <c r="M82" s="5"/>
    </row>
  </sheetData>
  <mergeCells count="72">
    <mergeCell ref="J8:K8"/>
    <mergeCell ref="A3:C3"/>
    <mergeCell ref="A4:C4"/>
    <mergeCell ref="A5:C5"/>
    <mergeCell ref="A6:C6"/>
    <mergeCell ref="A8:E8"/>
    <mergeCell ref="A9:C9"/>
    <mergeCell ref="A10:C10"/>
    <mergeCell ref="A11:C11"/>
    <mergeCell ref="A12:C12"/>
    <mergeCell ref="A13:C13"/>
    <mergeCell ref="J31:K31"/>
    <mergeCell ref="J26:K26"/>
    <mergeCell ref="A17:C17"/>
    <mergeCell ref="A18:C18"/>
    <mergeCell ref="A20:E20"/>
    <mergeCell ref="J20:K20"/>
    <mergeCell ref="A21:C21"/>
    <mergeCell ref="A22:C22"/>
    <mergeCell ref="A23:C23"/>
    <mergeCell ref="A24:C24"/>
    <mergeCell ref="A26:E26"/>
    <mergeCell ref="J41:K41"/>
    <mergeCell ref="A42:C42"/>
    <mergeCell ref="A32:C32"/>
    <mergeCell ref="A33:C33"/>
    <mergeCell ref="A34:C34"/>
    <mergeCell ref="A35:C35"/>
    <mergeCell ref="A36:C36"/>
    <mergeCell ref="J49:K49"/>
    <mergeCell ref="A50:C50"/>
    <mergeCell ref="A51:C51"/>
    <mergeCell ref="A52:C52"/>
    <mergeCell ref="A43:C43"/>
    <mergeCell ref="A44:C44"/>
    <mergeCell ref="A45:C45"/>
    <mergeCell ref="A46:C46"/>
    <mergeCell ref="A47:C47"/>
    <mergeCell ref="J59:K59"/>
    <mergeCell ref="A60:C60"/>
    <mergeCell ref="A61:C61"/>
    <mergeCell ref="A63:C63"/>
    <mergeCell ref="A53:C53"/>
    <mergeCell ref="A54:C54"/>
    <mergeCell ref="A55:C55"/>
    <mergeCell ref="A57:C57"/>
    <mergeCell ref="A59:E59"/>
    <mergeCell ref="J72:K72"/>
    <mergeCell ref="A73:C73"/>
    <mergeCell ref="A65:E65"/>
    <mergeCell ref="J65:K65"/>
    <mergeCell ref="A66:C66"/>
    <mergeCell ref="A68:E68"/>
    <mergeCell ref="J68:K68"/>
    <mergeCell ref="A79:C79"/>
    <mergeCell ref="A80:C80"/>
    <mergeCell ref="A69:C69"/>
    <mergeCell ref="A70:C70"/>
    <mergeCell ref="A72:E72"/>
    <mergeCell ref="A16:C16"/>
    <mergeCell ref="A62:C62"/>
    <mergeCell ref="A74:C74"/>
    <mergeCell ref="A77:C77"/>
    <mergeCell ref="A78:C78"/>
    <mergeCell ref="A49:E49"/>
    <mergeCell ref="A37:C37"/>
    <mergeCell ref="A39:C39"/>
    <mergeCell ref="A41:E41"/>
    <mergeCell ref="A27:C27"/>
    <mergeCell ref="A28:C28"/>
    <mergeCell ref="A29:C29"/>
    <mergeCell ref="A31:E3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26"/>
  <sheetViews>
    <sheetView topLeftCell="A55" workbookViewId="0">
      <selection activeCell="A66" sqref="A66:M78"/>
    </sheetView>
  </sheetViews>
  <sheetFormatPr defaultRowHeight="15"/>
  <sheetData>
    <row r="1" spans="1:14" ht="15.75" thickBot="1"/>
    <row r="2" spans="1:14" ht="15.75" thickBot="1">
      <c r="A2" s="278" t="s">
        <v>230</v>
      </c>
      <c r="B2" s="279"/>
      <c r="C2" s="279"/>
      <c r="D2" s="279"/>
      <c r="E2" s="298"/>
      <c r="F2" s="137">
        <v>250</v>
      </c>
      <c r="G2" s="3"/>
      <c r="H2" s="3"/>
      <c r="I2" s="3"/>
      <c r="J2" s="287"/>
      <c r="K2" s="288"/>
      <c r="L2" s="3"/>
      <c r="M2" s="66">
        <v>215</v>
      </c>
    </row>
    <row r="3" spans="1:14" ht="15.75" thickBot="1">
      <c r="A3" s="280" t="s">
        <v>28</v>
      </c>
      <c r="B3" s="281"/>
      <c r="C3" s="282"/>
      <c r="D3" s="15">
        <v>20</v>
      </c>
      <c r="E3" s="15">
        <v>20</v>
      </c>
      <c r="F3" s="140"/>
      <c r="G3" s="3">
        <f>18.9/100*20</f>
        <v>3.7799999999999994</v>
      </c>
      <c r="H3" s="3">
        <f>12.4/100*20</f>
        <v>2.48</v>
      </c>
      <c r="I3" s="3">
        <v>0</v>
      </c>
      <c r="J3" s="17">
        <f>187/100*20</f>
        <v>37.400000000000006</v>
      </c>
      <c r="K3" s="18"/>
      <c r="L3" s="3">
        <v>0</v>
      </c>
      <c r="M3" s="5"/>
    </row>
    <row r="4" spans="1:14" ht="15.75" thickBot="1">
      <c r="A4" s="280" t="s">
        <v>32</v>
      </c>
      <c r="B4" s="281"/>
      <c r="C4" s="282"/>
      <c r="D4" s="15">
        <v>43</v>
      </c>
      <c r="E4" s="15">
        <v>35</v>
      </c>
      <c r="F4" s="140"/>
      <c r="G4" s="3">
        <f>1.2/100*35</f>
        <v>0.42</v>
      </c>
      <c r="H4" s="3">
        <v>0</v>
      </c>
      <c r="I4" s="3">
        <f>4.1/100*35</f>
        <v>1.4349999999999998</v>
      </c>
      <c r="J4" s="130">
        <f>22/100*35</f>
        <v>7.7</v>
      </c>
      <c r="K4" s="112"/>
      <c r="L4" s="3">
        <f>24/100*35</f>
        <v>8.4</v>
      </c>
      <c r="M4" s="5"/>
    </row>
    <row r="5" spans="1:14" ht="15.75" thickBot="1">
      <c r="A5" s="280" t="s">
        <v>33</v>
      </c>
      <c r="B5" s="281"/>
      <c r="C5" s="282"/>
      <c r="D5" s="15">
        <v>50</v>
      </c>
      <c r="E5" s="15">
        <v>37.5</v>
      </c>
      <c r="F5" s="140"/>
      <c r="G5" s="3">
        <f>1.2/100*37.5</f>
        <v>0.45</v>
      </c>
      <c r="H5" s="3">
        <v>0</v>
      </c>
      <c r="I5" s="3">
        <f>14/100*37.5</f>
        <v>5.2500000000000009</v>
      </c>
      <c r="J5" s="130">
        <f>62/100*87.5</f>
        <v>54.25</v>
      </c>
      <c r="K5" s="112"/>
      <c r="L5" s="3">
        <f>7.5/100*37.5</f>
        <v>2.8125</v>
      </c>
      <c r="M5" s="5"/>
    </row>
    <row r="6" spans="1:14" ht="15.75" thickBot="1">
      <c r="A6" s="280" t="s">
        <v>34</v>
      </c>
      <c r="B6" s="281"/>
      <c r="C6" s="282"/>
      <c r="D6" s="15">
        <v>7</v>
      </c>
      <c r="E6" s="15">
        <v>5</v>
      </c>
      <c r="F6" s="140"/>
      <c r="G6" s="3">
        <f>0.2/100*5</f>
        <v>0.01</v>
      </c>
      <c r="H6" s="3">
        <v>0</v>
      </c>
      <c r="I6" s="3">
        <f>10/100*5</f>
        <v>0.5</v>
      </c>
      <c r="J6" s="130">
        <f>42/100*5</f>
        <v>2.1</v>
      </c>
      <c r="K6" s="112"/>
      <c r="L6" s="3">
        <f>8.5/100*5</f>
        <v>0.42500000000000004</v>
      </c>
      <c r="M6" s="5"/>
    </row>
    <row r="7" spans="1:14" ht="15.75" thickBot="1">
      <c r="A7" s="280" t="s">
        <v>35</v>
      </c>
      <c r="B7" s="281"/>
      <c r="C7" s="282"/>
      <c r="D7" s="15">
        <v>7</v>
      </c>
      <c r="E7" s="15">
        <v>5</v>
      </c>
      <c r="F7" s="140"/>
      <c r="G7" s="3">
        <f>1/100*5</f>
        <v>0.05</v>
      </c>
      <c r="H7" s="3">
        <v>0</v>
      </c>
      <c r="I7" s="3">
        <f>6.1/100*5</f>
        <v>0.30499999999999999</v>
      </c>
      <c r="J7" s="130">
        <f>29/100*5</f>
        <v>1.45</v>
      </c>
      <c r="K7" s="112"/>
      <c r="L7" s="3">
        <f>4/100*5</f>
        <v>0.2</v>
      </c>
      <c r="M7" s="5"/>
    </row>
    <row r="8" spans="1:14" ht="15.75" thickBot="1">
      <c r="A8" s="280" t="s">
        <v>23</v>
      </c>
      <c r="B8" s="281"/>
      <c r="C8" s="282"/>
      <c r="D8" s="15">
        <v>2</v>
      </c>
      <c r="E8" s="15">
        <v>2</v>
      </c>
      <c r="F8" s="140"/>
      <c r="G8" s="3">
        <f>0.4/100*2</f>
        <v>8.0000000000000002E-3</v>
      </c>
      <c r="H8" s="3">
        <f>78.5/100*2</f>
        <v>1.57</v>
      </c>
      <c r="I8" s="3">
        <f>0.5/100*2</f>
        <v>0.01</v>
      </c>
      <c r="J8" s="130">
        <f>734/100*2</f>
        <v>14.68</v>
      </c>
      <c r="K8" s="112"/>
      <c r="L8" s="3">
        <f>0.6/100*2</f>
        <v>1.2E-2</v>
      </c>
      <c r="M8" s="5"/>
      <c r="N8">
        <v>1</v>
      </c>
    </row>
    <row r="9" spans="1:14" ht="15.75" thickBot="1">
      <c r="A9" s="280" t="s">
        <v>36</v>
      </c>
      <c r="B9" s="281"/>
      <c r="C9" s="282"/>
      <c r="D9" s="15">
        <v>2</v>
      </c>
      <c r="E9" s="15">
        <v>2</v>
      </c>
      <c r="F9" s="140"/>
      <c r="G9" s="3">
        <v>0</v>
      </c>
      <c r="H9" s="3">
        <f>99.9/100*2</f>
        <v>1.9980000000000002</v>
      </c>
      <c r="I9" s="3">
        <v>0</v>
      </c>
      <c r="J9" s="130">
        <f>900/100*2</f>
        <v>18</v>
      </c>
      <c r="K9" s="112"/>
      <c r="L9" s="3">
        <v>0</v>
      </c>
      <c r="M9" s="5"/>
    </row>
    <row r="10" spans="1:14" ht="15.75" thickBot="1">
      <c r="A10" s="280" t="s">
        <v>37</v>
      </c>
      <c r="B10" s="281"/>
      <c r="C10" s="282"/>
      <c r="D10" s="15">
        <v>4</v>
      </c>
      <c r="E10" s="15">
        <v>4</v>
      </c>
      <c r="F10" s="140"/>
      <c r="G10" s="3">
        <f>2.6/100*8</f>
        <v>0.20800000000000002</v>
      </c>
      <c r="H10" s="3">
        <f>15/100*8</f>
        <v>1.2</v>
      </c>
      <c r="I10" s="3">
        <f>3.6/100*8</f>
        <v>0.28800000000000003</v>
      </c>
      <c r="J10" s="17">
        <f>160/100*8</f>
        <v>12.8</v>
      </c>
      <c r="K10" s="18"/>
      <c r="L10" s="3">
        <v>0</v>
      </c>
      <c r="M10" s="5"/>
    </row>
    <row r="11" spans="1:14" ht="15.75" thickBot="1">
      <c r="A11" s="280" t="s">
        <v>38</v>
      </c>
      <c r="B11" s="281"/>
      <c r="C11" s="282"/>
      <c r="D11" s="15">
        <v>2</v>
      </c>
      <c r="E11" s="15">
        <v>2</v>
      </c>
      <c r="F11" s="140"/>
      <c r="G11" s="3">
        <f>2.2/100*4</f>
        <v>8.8000000000000009E-2</v>
      </c>
      <c r="H11" s="3">
        <v>0</v>
      </c>
      <c r="I11" s="3">
        <f>15.8/100*4</f>
        <v>0.63200000000000001</v>
      </c>
      <c r="J11" s="130">
        <f>63.2/100*4</f>
        <v>2.528</v>
      </c>
      <c r="K11" s="112"/>
      <c r="L11" s="3">
        <f>26/100*4</f>
        <v>1.04</v>
      </c>
      <c r="M11" s="5"/>
    </row>
    <row r="12" spans="1:14" ht="15.75" thickBot="1">
      <c r="A12" s="64"/>
      <c r="B12" s="107" t="s">
        <v>125</v>
      </c>
      <c r="C12" s="116"/>
      <c r="D12" s="45">
        <v>5</v>
      </c>
      <c r="E12" s="45">
        <v>5</v>
      </c>
      <c r="F12" s="140"/>
      <c r="G12" s="3">
        <f>0.8/100*5</f>
        <v>0.04</v>
      </c>
      <c r="H12" s="3">
        <v>0</v>
      </c>
      <c r="I12" s="3">
        <f>3.3/100*5</f>
        <v>0.16500000000000001</v>
      </c>
      <c r="J12" s="130">
        <f>17/100*5</f>
        <v>0.85000000000000009</v>
      </c>
      <c r="K12" s="112"/>
      <c r="L12" s="3">
        <f>48/100*5</f>
        <v>2.4</v>
      </c>
      <c r="M12" s="5"/>
    </row>
    <row r="13" spans="1:14" ht="15.75" thickBot="1">
      <c r="A13" s="280" t="s">
        <v>126</v>
      </c>
      <c r="B13" s="281"/>
      <c r="C13" s="282"/>
      <c r="D13" s="15">
        <v>7.5</v>
      </c>
      <c r="E13" s="15">
        <v>7.5</v>
      </c>
      <c r="F13" s="140"/>
      <c r="G13" s="3">
        <f>6.1/100*7.5</f>
        <v>0.45750000000000002</v>
      </c>
      <c r="H13" s="3">
        <v>0</v>
      </c>
      <c r="I13" s="3">
        <f>14.9/100*7.5</f>
        <v>1.1174999999999999</v>
      </c>
      <c r="J13" s="17">
        <f>84/100*7.5</f>
        <v>6.3</v>
      </c>
      <c r="K13" s="110"/>
      <c r="L13" s="3">
        <v>0</v>
      </c>
      <c r="M13" s="68"/>
    </row>
    <row r="14" spans="1:14" ht="15.75" thickBot="1">
      <c r="F14" s="143"/>
    </row>
    <row r="15" spans="1:14" ht="15.75" thickBot="1">
      <c r="A15" s="278" t="s">
        <v>231</v>
      </c>
      <c r="B15" s="279"/>
      <c r="C15" s="279"/>
      <c r="D15" s="178"/>
      <c r="E15" s="21"/>
      <c r="F15" s="137">
        <v>250</v>
      </c>
      <c r="G15" s="3"/>
      <c r="H15" s="3"/>
      <c r="I15" s="3"/>
      <c r="J15" s="285"/>
      <c r="K15" s="286"/>
      <c r="L15" s="3"/>
      <c r="M15" s="5"/>
    </row>
    <row r="16" spans="1:14" ht="15.75" thickBot="1">
      <c r="A16" s="277" t="s">
        <v>232</v>
      </c>
      <c r="B16" s="277"/>
      <c r="C16" s="277"/>
      <c r="D16" s="15">
        <v>20</v>
      </c>
      <c r="E16" s="15">
        <v>20</v>
      </c>
      <c r="F16" s="142"/>
      <c r="G16" s="3">
        <f>18/100*20</f>
        <v>3.5999999999999996</v>
      </c>
      <c r="H16" s="3">
        <f>23/100*20</f>
        <v>4.6000000000000005</v>
      </c>
      <c r="I16" s="3">
        <v>0</v>
      </c>
      <c r="J16" s="113">
        <f>279/100*20</f>
        <v>55.8</v>
      </c>
      <c r="K16" s="114"/>
      <c r="L16" s="3">
        <v>0</v>
      </c>
      <c r="M16" s="5"/>
    </row>
    <row r="17" spans="1:14" ht="15.75" thickBot="1">
      <c r="A17" s="280" t="s">
        <v>33</v>
      </c>
      <c r="B17" s="281"/>
      <c r="C17" s="281"/>
      <c r="D17" s="15">
        <v>100</v>
      </c>
      <c r="E17" s="15">
        <v>70</v>
      </c>
      <c r="F17" s="142"/>
      <c r="G17" s="3">
        <f>1.2/100*70</f>
        <v>0.84</v>
      </c>
      <c r="H17" s="3">
        <v>0</v>
      </c>
      <c r="I17" s="3">
        <f>14/100*70</f>
        <v>9.8000000000000007</v>
      </c>
      <c r="J17" s="113">
        <f>62/100*70</f>
        <v>43.4</v>
      </c>
      <c r="K17" s="114"/>
      <c r="L17" s="3">
        <f>7.5/100*70</f>
        <v>5.25</v>
      </c>
      <c r="M17" s="5"/>
    </row>
    <row r="18" spans="1:14" ht="15.75" thickBot="1">
      <c r="A18" s="277" t="s">
        <v>34</v>
      </c>
      <c r="B18" s="277"/>
      <c r="C18" s="277"/>
      <c r="D18" s="15">
        <v>7</v>
      </c>
      <c r="E18" s="15">
        <v>5</v>
      </c>
      <c r="F18" s="142"/>
      <c r="G18" s="3">
        <f>0.2/100*5</f>
        <v>0.01</v>
      </c>
      <c r="H18" s="3">
        <v>0</v>
      </c>
      <c r="I18" s="3">
        <f>10/100*5</f>
        <v>0.5</v>
      </c>
      <c r="J18" s="113">
        <f>42/100*5</f>
        <v>2.1</v>
      </c>
      <c r="K18" s="114"/>
      <c r="L18" s="3">
        <f>8.4/100*5</f>
        <v>0.42000000000000004</v>
      </c>
      <c r="M18" s="5"/>
    </row>
    <row r="19" spans="1:14" ht="15.75" thickBot="1">
      <c r="A19" s="277" t="s">
        <v>35</v>
      </c>
      <c r="B19" s="277"/>
      <c r="C19" s="277"/>
      <c r="D19" s="15">
        <v>7</v>
      </c>
      <c r="E19" s="15">
        <v>5</v>
      </c>
      <c r="F19" s="142"/>
      <c r="G19" s="3">
        <f>1/100*5</f>
        <v>0.05</v>
      </c>
      <c r="H19" s="3">
        <v>0</v>
      </c>
      <c r="I19" s="3">
        <f>6.1/100*5</f>
        <v>0.30499999999999999</v>
      </c>
      <c r="J19" s="113">
        <f>29/100*5</f>
        <v>1.45</v>
      </c>
      <c r="K19" s="114"/>
      <c r="L19" s="3">
        <f>4/100*5</f>
        <v>0.2</v>
      </c>
      <c r="M19" s="5"/>
    </row>
    <row r="20" spans="1:14" ht="15.75" thickBot="1">
      <c r="A20" s="280" t="s">
        <v>23</v>
      </c>
      <c r="B20" s="281"/>
      <c r="C20" s="281"/>
      <c r="D20" s="15">
        <v>2</v>
      </c>
      <c r="E20" s="15">
        <v>2</v>
      </c>
      <c r="F20" s="142"/>
      <c r="G20" s="3">
        <f>0.4/100*2</f>
        <v>8.0000000000000002E-3</v>
      </c>
      <c r="H20" s="3">
        <f>78.5/100*2</f>
        <v>1.57</v>
      </c>
      <c r="I20" s="3">
        <f>0.5/100*2</f>
        <v>0.01</v>
      </c>
      <c r="J20" s="17">
        <f>734/100*2</f>
        <v>14.68</v>
      </c>
      <c r="K20" s="18"/>
      <c r="L20" s="3">
        <v>0</v>
      </c>
      <c r="M20" s="5"/>
      <c r="N20">
        <v>2</v>
      </c>
    </row>
    <row r="21" spans="1:14" ht="15.75" thickBot="1">
      <c r="A21" s="277" t="s">
        <v>36</v>
      </c>
      <c r="B21" s="277"/>
      <c r="C21" s="277"/>
      <c r="D21" s="15">
        <v>2</v>
      </c>
      <c r="E21" s="15">
        <v>2</v>
      </c>
      <c r="F21" s="142"/>
      <c r="G21" s="1">
        <v>0</v>
      </c>
      <c r="H21" s="1">
        <f>99.9/100*2</f>
        <v>1.9980000000000002</v>
      </c>
      <c r="I21" s="1">
        <v>0</v>
      </c>
      <c r="J21" s="17">
        <f>900/100*2</f>
        <v>18</v>
      </c>
      <c r="K21" s="18"/>
      <c r="L21" s="1">
        <v>0</v>
      </c>
      <c r="M21" s="5"/>
    </row>
    <row r="22" spans="1:14" ht="15.75" thickBot="1">
      <c r="A22" s="280" t="s">
        <v>37</v>
      </c>
      <c r="B22" s="281"/>
      <c r="C22" s="281"/>
      <c r="D22" s="15">
        <v>4</v>
      </c>
      <c r="E22" s="15">
        <v>4</v>
      </c>
      <c r="F22" s="142"/>
      <c r="G22" s="1">
        <f>2.6/100*4</f>
        <v>0.10400000000000001</v>
      </c>
      <c r="H22" s="1">
        <f>15/100*4</f>
        <v>0.6</v>
      </c>
      <c r="I22" s="1">
        <f>3.6/100*4</f>
        <v>0.14400000000000002</v>
      </c>
      <c r="J22" s="17">
        <f>160/100*4</f>
        <v>6.4</v>
      </c>
      <c r="K22" s="18"/>
      <c r="L22" s="1">
        <v>0</v>
      </c>
      <c r="M22" s="5"/>
    </row>
    <row r="23" spans="1:14" ht="15.75" thickBot="1">
      <c r="A23" s="277" t="s">
        <v>206</v>
      </c>
      <c r="B23" s="277"/>
      <c r="C23" s="277"/>
      <c r="D23" s="15">
        <v>7</v>
      </c>
      <c r="E23" s="15">
        <v>7</v>
      </c>
      <c r="F23" s="142"/>
      <c r="G23" s="202">
        <f>7/100*7</f>
        <v>0.49000000000000005</v>
      </c>
      <c r="H23" s="202">
        <f>1/100*7</f>
        <v>7.0000000000000007E-2</v>
      </c>
      <c r="I23" s="202">
        <f>74/100*7</f>
        <v>5.18</v>
      </c>
      <c r="J23" s="155">
        <f>330/100*7</f>
        <v>23.099999999999998</v>
      </c>
      <c r="K23" s="18"/>
      <c r="L23" s="201">
        <v>0</v>
      </c>
      <c r="M23" s="105"/>
    </row>
    <row r="24" spans="1:14" ht="15.75" thickBot="1">
      <c r="F24" s="141"/>
    </row>
    <row r="25" spans="1:14" ht="15.75" thickBot="1">
      <c r="A25" s="278" t="s">
        <v>212</v>
      </c>
      <c r="B25" s="279"/>
      <c r="C25" s="279"/>
      <c r="D25" s="279"/>
      <c r="E25" s="298"/>
      <c r="F25" s="137">
        <v>250</v>
      </c>
      <c r="G25" s="3"/>
      <c r="H25" s="3"/>
      <c r="I25" s="3"/>
      <c r="J25" s="285"/>
      <c r="K25" s="286"/>
      <c r="L25" s="3"/>
      <c r="M25" s="5"/>
    </row>
    <row r="26" spans="1:14" ht="15.75" thickBot="1">
      <c r="A26" s="277" t="s">
        <v>28</v>
      </c>
      <c r="B26" s="277"/>
      <c r="C26" s="277"/>
      <c r="D26" s="15">
        <v>20</v>
      </c>
      <c r="E26" s="15">
        <v>20</v>
      </c>
      <c r="F26" s="142"/>
      <c r="G26" s="3">
        <f>18.9/100*20</f>
        <v>3.7799999999999994</v>
      </c>
      <c r="H26" s="3">
        <f>12.4/100*20</f>
        <v>2.48</v>
      </c>
      <c r="I26" s="3">
        <v>0</v>
      </c>
      <c r="J26" s="17">
        <f>187/100*20</f>
        <v>37.400000000000006</v>
      </c>
      <c r="K26" s="18"/>
      <c r="L26" s="3">
        <v>0</v>
      </c>
      <c r="M26" s="5"/>
    </row>
    <row r="27" spans="1:14" ht="15.75" thickBot="1">
      <c r="A27" s="277" t="s">
        <v>32</v>
      </c>
      <c r="B27" s="277"/>
      <c r="C27" s="277"/>
      <c r="D27" s="15">
        <v>50</v>
      </c>
      <c r="E27" s="15">
        <v>32.5</v>
      </c>
      <c r="F27" s="142"/>
      <c r="G27" s="3">
        <f>1.2/100*32.5</f>
        <v>0.39</v>
      </c>
      <c r="H27" s="3">
        <v>0</v>
      </c>
      <c r="I27" s="3">
        <f>4.1/100*32.5</f>
        <v>1.3324999999999998</v>
      </c>
      <c r="J27" s="130">
        <f>22/100*32.5</f>
        <v>7.15</v>
      </c>
      <c r="K27" s="112"/>
      <c r="L27" s="3">
        <f>24/100*32.5</f>
        <v>7.8</v>
      </c>
      <c r="M27" s="5"/>
    </row>
    <row r="28" spans="1:14" ht="15.75" thickBot="1">
      <c r="A28" s="277" t="s">
        <v>33</v>
      </c>
      <c r="B28" s="277"/>
      <c r="C28" s="277"/>
      <c r="D28" s="15">
        <v>100</v>
      </c>
      <c r="E28" s="15">
        <v>87.5</v>
      </c>
      <c r="F28" s="142"/>
      <c r="G28" s="3">
        <f>1.2/100*87.5</f>
        <v>1.05</v>
      </c>
      <c r="H28" s="3">
        <v>0</v>
      </c>
      <c r="I28" s="3">
        <f>14/100*87.5</f>
        <v>12.250000000000002</v>
      </c>
      <c r="J28" s="130">
        <f>62/100*87.5</f>
        <v>54.25</v>
      </c>
      <c r="K28" s="112"/>
      <c r="L28" s="3">
        <f>7.5/100*87.5</f>
        <v>6.5625</v>
      </c>
      <c r="M28" s="5"/>
    </row>
    <row r="29" spans="1:14" ht="15.75" thickBot="1">
      <c r="A29" s="277" t="s">
        <v>34</v>
      </c>
      <c r="B29" s="277"/>
      <c r="C29" s="277"/>
      <c r="D29" s="15">
        <v>7</v>
      </c>
      <c r="E29" s="15">
        <v>5</v>
      </c>
      <c r="F29" s="142"/>
      <c r="G29" s="3">
        <f>0.2/100*5</f>
        <v>0.01</v>
      </c>
      <c r="H29" s="3">
        <v>0</v>
      </c>
      <c r="I29" s="3">
        <f>10/100*5</f>
        <v>0.5</v>
      </c>
      <c r="J29" s="130">
        <f>42/100*5</f>
        <v>2.1</v>
      </c>
      <c r="K29" s="112"/>
      <c r="L29" s="3">
        <f>8.5/100*5</f>
        <v>0.42500000000000004</v>
      </c>
      <c r="M29" s="5"/>
    </row>
    <row r="30" spans="1:14" ht="15.75" thickBot="1">
      <c r="A30" s="277" t="s">
        <v>35</v>
      </c>
      <c r="B30" s="277"/>
      <c r="C30" s="277"/>
      <c r="D30" s="15">
        <v>7</v>
      </c>
      <c r="E30" s="15">
        <v>5</v>
      </c>
      <c r="F30" s="142"/>
      <c r="G30" s="3">
        <f>1/100*5</f>
        <v>0.05</v>
      </c>
      <c r="H30" s="3">
        <v>0</v>
      </c>
      <c r="I30" s="3">
        <f>6.1/100*5</f>
        <v>0.30499999999999999</v>
      </c>
      <c r="J30" s="130">
        <f>29/100*5</f>
        <v>1.45</v>
      </c>
      <c r="K30" s="112"/>
      <c r="L30" s="3">
        <f>4/100*5</f>
        <v>0.2</v>
      </c>
      <c r="M30" s="5"/>
      <c r="N30">
        <v>3</v>
      </c>
    </row>
    <row r="31" spans="1:14" ht="15.75" thickBot="1">
      <c r="A31" s="280" t="s">
        <v>23</v>
      </c>
      <c r="B31" s="281"/>
      <c r="C31" s="281"/>
      <c r="D31" s="15">
        <v>2</v>
      </c>
      <c r="E31" s="15">
        <v>2</v>
      </c>
      <c r="F31" s="142"/>
      <c r="G31" s="3">
        <f>0.4/100*2</f>
        <v>8.0000000000000002E-3</v>
      </c>
      <c r="H31" s="3">
        <f>78.5/100*2</f>
        <v>1.57</v>
      </c>
      <c r="I31" s="3">
        <f>0.5/100*2</f>
        <v>0.01</v>
      </c>
      <c r="J31" s="130">
        <f>734/100*2</f>
        <v>14.68</v>
      </c>
      <c r="K31" s="112"/>
      <c r="L31" s="3">
        <f>0.6/100*2</f>
        <v>1.2E-2</v>
      </c>
      <c r="M31" s="5"/>
    </row>
    <row r="32" spans="1:14" ht="15.75" thickBot="1">
      <c r="A32" s="277" t="s">
        <v>36</v>
      </c>
      <c r="B32" s="277"/>
      <c r="C32" s="277"/>
      <c r="D32" s="15">
        <v>2</v>
      </c>
      <c r="E32" s="15">
        <v>2</v>
      </c>
      <c r="F32" s="142"/>
      <c r="G32" s="3">
        <v>0</v>
      </c>
      <c r="H32" s="3">
        <f>99.9/100*2</f>
        <v>1.9980000000000002</v>
      </c>
      <c r="I32" s="3">
        <v>0</v>
      </c>
      <c r="J32" s="130">
        <f>900/100*2</f>
        <v>18</v>
      </c>
      <c r="K32" s="112"/>
      <c r="L32" s="3">
        <v>0</v>
      </c>
      <c r="M32" s="5"/>
    </row>
    <row r="33" spans="1:14" ht="15.75" thickBot="1">
      <c r="A33" s="277" t="s">
        <v>37</v>
      </c>
      <c r="B33" s="277"/>
      <c r="C33" s="277"/>
      <c r="D33" s="15">
        <v>8</v>
      </c>
      <c r="E33" s="15">
        <v>8</v>
      </c>
      <c r="F33" s="142"/>
      <c r="G33" s="3">
        <f>2.6/100*8</f>
        <v>0.20800000000000002</v>
      </c>
      <c r="H33" s="3">
        <f>15/100*8</f>
        <v>1.2</v>
      </c>
      <c r="I33" s="3">
        <f>3.6/100*8</f>
        <v>0.28800000000000003</v>
      </c>
      <c r="J33" s="17">
        <f>160/100*8</f>
        <v>12.8</v>
      </c>
      <c r="K33" s="18"/>
      <c r="L33" s="3">
        <v>0</v>
      </c>
      <c r="M33" s="5"/>
    </row>
    <row r="34" spans="1:14" ht="15.75" thickBot="1">
      <c r="A34" s="277" t="s">
        <v>38</v>
      </c>
      <c r="B34" s="277"/>
      <c r="C34" s="277"/>
      <c r="D34" s="15">
        <v>4</v>
      </c>
      <c r="E34" s="15">
        <v>4</v>
      </c>
      <c r="F34" s="142"/>
      <c r="G34" s="3">
        <f>2.2/100*4</f>
        <v>8.8000000000000009E-2</v>
      </c>
      <c r="H34" s="3">
        <v>0</v>
      </c>
      <c r="I34" s="3">
        <f>15.8/100*4</f>
        <v>0.63200000000000001</v>
      </c>
      <c r="J34" s="17">
        <f>63.2/100*4</f>
        <v>2.528</v>
      </c>
      <c r="K34" s="110"/>
      <c r="L34" s="3">
        <f>26/100*4</f>
        <v>1.04</v>
      </c>
      <c r="M34" s="5"/>
    </row>
    <row r="35" spans="1:14" ht="15.75" thickBot="1">
      <c r="F35" s="141"/>
    </row>
    <row r="36" spans="1:14" ht="15.75" thickBot="1">
      <c r="A36" s="278" t="s">
        <v>191</v>
      </c>
      <c r="B36" s="279"/>
      <c r="C36" s="279"/>
      <c r="D36" s="279"/>
      <c r="E36" s="298"/>
      <c r="F36" s="137">
        <v>250</v>
      </c>
      <c r="G36" s="3"/>
      <c r="H36" s="3"/>
      <c r="I36" s="3"/>
      <c r="J36" s="287"/>
      <c r="K36" s="288"/>
      <c r="L36" s="3"/>
      <c r="M36" s="5"/>
    </row>
    <row r="37" spans="1:14" ht="15.75" thickBot="1">
      <c r="A37" s="280" t="s">
        <v>28</v>
      </c>
      <c r="B37" s="281"/>
      <c r="C37" s="282"/>
      <c r="D37" s="105">
        <v>20</v>
      </c>
      <c r="E37" s="105">
        <v>20</v>
      </c>
      <c r="F37" s="142"/>
      <c r="G37" s="4">
        <f>18.9/100*20</f>
        <v>3.7799999999999994</v>
      </c>
      <c r="H37" s="4">
        <f>12.4/100*20</f>
        <v>2.48</v>
      </c>
      <c r="I37" s="4">
        <v>0</v>
      </c>
      <c r="J37" s="17">
        <f>187/100*20</f>
        <v>37.400000000000006</v>
      </c>
      <c r="K37" s="110"/>
      <c r="L37" s="4">
        <v>0</v>
      </c>
      <c r="M37" s="5"/>
    </row>
    <row r="38" spans="1:14" ht="15.75" thickBot="1">
      <c r="A38" s="280" t="s">
        <v>33</v>
      </c>
      <c r="B38" s="281"/>
      <c r="C38" s="282"/>
      <c r="D38" s="105">
        <v>100</v>
      </c>
      <c r="E38" s="105">
        <v>87.5</v>
      </c>
      <c r="F38" s="142"/>
      <c r="G38" s="4">
        <f>1.2/100*87.5</f>
        <v>1.05</v>
      </c>
      <c r="H38" s="4">
        <v>0</v>
      </c>
      <c r="I38" s="4">
        <f>14/100*87.5</f>
        <v>12.250000000000002</v>
      </c>
      <c r="J38" s="113">
        <f>62/100*87.5</f>
        <v>54.25</v>
      </c>
      <c r="K38" s="112"/>
      <c r="L38" s="4">
        <f>7.5/100*87.5</f>
        <v>6.5625</v>
      </c>
      <c r="M38" s="5"/>
    </row>
    <row r="39" spans="1:14" ht="15.75" thickBot="1">
      <c r="A39" s="280" t="s">
        <v>34</v>
      </c>
      <c r="B39" s="281"/>
      <c r="C39" s="282"/>
      <c r="D39" s="105">
        <v>7</v>
      </c>
      <c r="E39" s="105">
        <v>5</v>
      </c>
      <c r="F39" s="142"/>
      <c r="G39" s="4">
        <f>0.2/100*5</f>
        <v>0.01</v>
      </c>
      <c r="H39" s="4">
        <v>0</v>
      </c>
      <c r="I39" s="4">
        <f>10/100*5</f>
        <v>0.5</v>
      </c>
      <c r="J39" s="113">
        <f>42/100*5</f>
        <v>2.1</v>
      </c>
      <c r="K39" s="112"/>
      <c r="L39" s="4">
        <f>8.5/100*5</f>
        <v>0.42500000000000004</v>
      </c>
      <c r="M39" s="5"/>
    </row>
    <row r="40" spans="1:14" ht="15.75" thickBot="1">
      <c r="A40" s="277" t="s">
        <v>35</v>
      </c>
      <c r="B40" s="277"/>
      <c r="C40" s="277"/>
      <c r="D40" s="105">
        <v>7</v>
      </c>
      <c r="E40" s="105">
        <v>5</v>
      </c>
      <c r="F40" s="142"/>
      <c r="G40" s="4">
        <f>1/100*5</f>
        <v>0.05</v>
      </c>
      <c r="H40" s="4">
        <v>0</v>
      </c>
      <c r="I40" s="4">
        <f>6.1/100*5</f>
        <v>0.30499999999999999</v>
      </c>
      <c r="J40" s="113">
        <f>29/100*5</f>
        <v>1.45</v>
      </c>
      <c r="K40" s="112"/>
      <c r="L40" s="4">
        <f>4/100*5</f>
        <v>0.2</v>
      </c>
      <c r="M40" s="5"/>
      <c r="N40">
        <v>4</v>
      </c>
    </row>
    <row r="41" spans="1:14" ht="15.75" thickBot="1">
      <c r="A41" s="280" t="s">
        <v>23</v>
      </c>
      <c r="B41" s="281"/>
      <c r="C41" s="281"/>
      <c r="D41" s="15">
        <v>2</v>
      </c>
      <c r="E41" s="15">
        <v>2</v>
      </c>
      <c r="F41" s="142"/>
      <c r="G41" s="3">
        <f>0.4/100*2</f>
        <v>8.0000000000000002E-3</v>
      </c>
      <c r="H41" s="3">
        <f>78.5/100*2</f>
        <v>1.57</v>
      </c>
      <c r="I41" s="3">
        <f>0.5/100*2</f>
        <v>0.01</v>
      </c>
      <c r="J41" s="113">
        <f>734/100*2</f>
        <v>14.68</v>
      </c>
      <c r="K41" s="112"/>
      <c r="L41" s="4">
        <f>0.6/100*2</f>
        <v>1.2E-2</v>
      </c>
      <c r="M41" s="5"/>
    </row>
    <row r="42" spans="1:14" ht="15.75" thickBot="1">
      <c r="A42" s="277" t="s">
        <v>36</v>
      </c>
      <c r="B42" s="277"/>
      <c r="C42" s="277"/>
      <c r="D42" s="15">
        <v>2</v>
      </c>
      <c r="E42" s="15">
        <v>2</v>
      </c>
      <c r="F42" s="142"/>
      <c r="G42" s="3">
        <v>0</v>
      </c>
      <c r="H42" s="3">
        <f>99.9/100*2</f>
        <v>1.9980000000000002</v>
      </c>
      <c r="I42" s="3">
        <v>0</v>
      </c>
      <c r="J42" s="113">
        <f>900/100*2</f>
        <v>18</v>
      </c>
      <c r="K42" s="112"/>
      <c r="L42" s="4">
        <v>0</v>
      </c>
      <c r="M42" s="5"/>
    </row>
    <row r="43" spans="1:14" ht="15.75" thickBot="1">
      <c r="A43" s="277" t="s">
        <v>37</v>
      </c>
      <c r="B43" s="277"/>
      <c r="C43" s="277"/>
      <c r="D43" s="15">
        <v>8</v>
      </c>
      <c r="E43" s="15">
        <v>8</v>
      </c>
      <c r="F43" s="142"/>
      <c r="G43" s="3">
        <f>2.6/100*8</f>
        <v>0.20800000000000002</v>
      </c>
      <c r="H43" s="3">
        <f>15/100*8</f>
        <v>1.2</v>
      </c>
      <c r="I43" s="3">
        <f>3.6/100*8</f>
        <v>0.28800000000000003</v>
      </c>
      <c r="J43" s="17">
        <f>160/100*8</f>
        <v>12.8</v>
      </c>
      <c r="K43" s="110"/>
      <c r="L43" s="4">
        <v>0</v>
      </c>
      <c r="M43" s="5"/>
    </row>
    <row r="44" spans="1:14" ht="15.75" thickBot="1">
      <c r="A44" s="277" t="s">
        <v>198</v>
      </c>
      <c r="B44" s="277"/>
      <c r="C44" s="277"/>
      <c r="D44" s="15">
        <v>5</v>
      </c>
      <c r="E44" s="15">
        <v>5</v>
      </c>
      <c r="F44" s="142"/>
      <c r="G44" s="3">
        <f>12.7/100*5</f>
        <v>0.63500000000000001</v>
      </c>
      <c r="H44" s="3">
        <f>11.5/100*5</f>
        <v>0.57500000000000007</v>
      </c>
      <c r="I44" s="3">
        <f>0.7/100*5</f>
        <v>3.4999999999999996E-2</v>
      </c>
      <c r="J44" s="17">
        <f>241/100*5</f>
        <v>12.05</v>
      </c>
      <c r="K44" s="18"/>
      <c r="L44" s="4">
        <v>0</v>
      </c>
      <c r="M44" s="5"/>
    </row>
    <row r="45" spans="1:14" ht="15.75" thickBot="1">
      <c r="F45" s="141"/>
    </row>
    <row r="46" spans="1:14" ht="15.75" thickBot="1">
      <c r="A46" s="278" t="s">
        <v>137</v>
      </c>
      <c r="B46" s="279"/>
      <c r="C46" s="279"/>
      <c r="D46" s="279"/>
      <c r="E46" s="298"/>
      <c r="F46" s="137">
        <v>250</v>
      </c>
      <c r="G46" s="3"/>
      <c r="H46" s="3"/>
      <c r="I46" s="3"/>
      <c r="J46" s="287"/>
      <c r="K46" s="288"/>
      <c r="L46" s="3"/>
      <c r="M46" s="5"/>
    </row>
    <row r="47" spans="1:14" ht="15.75" thickBot="1">
      <c r="A47" s="280" t="s">
        <v>134</v>
      </c>
      <c r="B47" s="281"/>
      <c r="C47" s="282"/>
      <c r="D47" s="105">
        <v>20</v>
      </c>
      <c r="E47" s="105">
        <v>20</v>
      </c>
      <c r="F47" s="142"/>
      <c r="G47" s="4">
        <f>18.2/100*E47</f>
        <v>3.6399999999999997</v>
      </c>
      <c r="H47" s="4">
        <f>18.4/100*E47</f>
        <v>3.6799999999999997</v>
      </c>
      <c r="I47" s="4">
        <f>0.7/100*E47</f>
        <v>0.13999999999999999</v>
      </c>
      <c r="J47" s="17">
        <f>241/100*E47</f>
        <v>48.2</v>
      </c>
      <c r="K47" s="110"/>
      <c r="L47" s="4">
        <v>0</v>
      </c>
      <c r="M47" s="5"/>
    </row>
    <row r="48" spans="1:14" ht="15.75" thickBot="1">
      <c r="A48" s="280" t="s">
        <v>33</v>
      </c>
      <c r="B48" s="281"/>
      <c r="C48" s="282"/>
      <c r="D48" s="105">
        <v>100</v>
      </c>
      <c r="E48" s="105">
        <v>87.5</v>
      </c>
      <c r="F48" s="142"/>
      <c r="G48" s="4">
        <f>1.2/100*87.5</f>
        <v>1.05</v>
      </c>
      <c r="H48" s="4">
        <v>0</v>
      </c>
      <c r="I48" s="4">
        <f>14/100*87.5</f>
        <v>12.250000000000002</v>
      </c>
      <c r="J48" s="130">
        <f>62/100*87.5</f>
        <v>54.25</v>
      </c>
      <c r="K48" s="112"/>
      <c r="L48" s="4">
        <f>7.5/100*87.5</f>
        <v>6.5625</v>
      </c>
      <c r="M48" s="5"/>
    </row>
    <row r="49" spans="1:14" ht="15.75" thickBot="1">
      <c r="A49" s="280" t="s">
        <v>34</v>
      </c>
      <c r="B49" s="281"/>
      <c r="C49" s="282"/>
      <c r="D49" s="105">
        <v>7</v>
      </c>
      <c r="E49" s="105">
        <v>5</v>
      </c>
      <c r="F49" s="142"/>
      <c r="G49" s="4">
        <f>0.2/100*5</f>
        <v>0.01</v>
      </c>
      <c r="H49" s="4">
        <v>0</v>
      </c>
      <c r="I49" s="4">
        <f>10/100*5</f>
        <v>0.5</v>
      </c>
      <c r="J49" s="130">
        <f>42/100*5</f>
        <v>2.1</v>
      </c>
      <c r="K49" s="112"/>
      <c r="L49" s="4">
        <f>8.5/100*5</f>
        <v>0.42500000000000004</v>
      </c>
      <c r="M49" s="5"/>
    </row>
    <row r="50" spans="1:14" ht="15.75" thickBot="1">
      <c r="A50" s="277" t="s">
        <v>35</v>
      </c>
      <c r="B50" s="277"/>
      <c r="C50" s="277"/>
      <c r="D50" s="105">
        <v>7</v>
      </c>
      <c r="E50" s="105">
        <v>5</v>
      </c>
      <c r="F50" s="142"/>
      <c r="G50" s="4">
        <f>1/100*5</f>
        <v>0.05</v>
      </c>
      <c r="H50" s="4">
        <v>0</v>
      </c>
      <c r="I50" s="4">
        <f>6.1/100*5</f>
        <v>0.30499999999999999</v>
      </c>
      <c r="J50" s="130">
        <f>29/100*5</f>
        <v>1.45</v>
      </c>
      <c r="K50" s="112"/>
      <c r="L50" s="4">
        <f>4/100*5</f>
        <v>0.2</v>
      </c>
      <c r="M50" s="5"/>
    </row>
    <row r="51" spans="1:14" ht="15.75" thickBot="1">
      <c r="A51" s="280" t="s">
        <v>23</v>
      </c>
      <c r="B51" s="281"/>
      <c r="C51" s="281"/>
      <c r="D51" s="105">
        <v>2</v>
      </c>
      <c r="E51" s="105">
        <v>2</v>
      </c>
      <c r="F51" s="142"/>
      <c r="G51" s="4">
        <f>0.4/100*2</f>
        <v>8.0000000000000002E-3</v>
      </c>
      <c r="H51" s="4">
        <f>78.5/100*2</f>
        <v>1.57</v>
      </c>
      <c r="I51" s="4">
        <f>0.5/100*2</f>
        <v>0.01</v>
      </c>
      <c r="J51" s="130">
        <f>734/100*2</f>
        <v>14.68</v>
      </c>
      <c r="K51" s="112"/>
      <c r="L51" s="4">
        <f>0.6/100*2</f>
        <v>1.2E-2</v>
      </c>
      <c r="M51" s="5"/>
      <c r="N51">
        <v>5</v>
      </c>
    </row>
    <row r="52" spans="1:14" ht="15.75" thickBot="1">
      <c r="A52" s="277" t="s">
        <v>36</v>
      </c>
      <c r="B52" s="277"/>
      <c r="C52" s="277"/>
      <c r="D52" s="105">
        <v>2</v>
      </c>
      <c r="E52" s="105">
        <v>2</v>
      </c>
      <c r="F52" s="142"/>
      <c r="G52" s="4">
        <v>0</v>
      </c>
      <c r="H52" s="4">
        <f>99.9/100*2</f>
        <v>1.9980000000000002</v>
      </c>
      <c r="I52" s="4">
        <v>0</v>
      </c>
      <c r="J52" s="130">
        <f>900/100*2</f>
        <v>18</v>
      </c>
      <c r="K52" s="112"/>
      <c r="L52" s="4">
        <v>0</v>
      </c>
      <c r="M52" s="5"/>
    </row>
    <row r="53" spans="1:14" ht="15.75" thickBot="1">
      <c r="A53" s="277" t="s">
        <v>37</v>
      </c>
      <c r="B53" s="277"/>
      <c r="C53" s="277"/>
      <c r="D53" s="105">
        <v>4</v>
      </c>
      <c r="E53" s="105">
        <v>4</v>
      </c>
      <c r="F53" s="142"/>
      <c r="G53" s="4">
        <f>2.6/100*E53</f>
        <v>0.10400000000000001</v>
      </c>
      <c r="H53" s="4">
        <f>15/100*E53</f>
        <v>0.6</v>
      </c>
      <c r="I53" s="4">
        <f>3.6/100*E53</f>
        <v>0.14400000000000002</v>
      </c>
      <c r="J53" s="17">
        <f>160/100*E53</f>
        <v>6.4</v>
      </c>
      <c r="K53" s="110"/>
      <c r="L53" s="4">
        <v>0</v>
      </c>
      <c r="M53" s="5"/>
    </row>
    <row r="54" spans="1:14" ht="15.75" thickBot="1">
      <c r="A54" s="277" t="s">
        <v>135</v>
      </c>
      <c r="B54" s="277"/>
      <c r="C54" s="277"/>
      <c r="D54" s="105">
        <v>10</v>
      </c>
      <c r="E54" s="105">
        <v>10</v>
      </c>
      <c r="F54" s="142"/>
      <c r="G54" s="4">
        <f>10/100*E54</f>
        <v>1</v>
      </c>
      <c r="H54" s="4">
        <f>1/100*E54</f>
        <v>0.1</v>
      </c>
      <c r="I54" s="4">
        <f>71/100*E54</f>
        <v>7.1</v>
      </c>
      <c r="J54" s="17">
        <f>340/100*E54</f>
        <v>34</v>
      </c>
      <c r="K54" s="110"/>
      <c r="L54" s="4">
        <v>0</v>
      </c>
      <c r="M54" s="5"/>
    </row>
    <row r="55" spans="1:14" ht="15.75" thickBot="1">
      <c r="F55" s="141"/>
    </row>
    <row r="56" spans="1:14" ht="15.75" thickBot="1">
      <c r="A56" s="278" t="s">
        <v>151</v>
      </c>
      <c r="B56" s="279"/>
      <c r="C56" s="279"/>
      <c r="D56" s="279"/>
      <c r="E56" s="298"/>
      <c r="F56" s="137">
        <v>250</v>
      </c>
      <c r="G56" s="3"/>
      <c r="H56" s="3"/>
      <c r="I56" s="3"/>
      <c r="J56" s="287"/>
      <c r="K56" s="288"/>
      <c r="L56" s="3"/>
      <c r="M56" s="5"/>
    </row>
    <row r="57" spans="1:14" ht="15.75" thickBot="1">
      <c r="A57" s="280" t="s">
        <v>233</v>
      </c>
      <c r="B57" s="281"/>
      <c r="C57" s="282"/>
      <c r="D57" s="105">
        <v>7</v>
      </c>
      <c r="E57" s="105">
        <v>7</v>
      </c>
      <c r="F57" s="142"/>
      <c r="G57" s="4">
        <f>9.3/100*7</f>
        <v>0.65100000000000013</v>
      </c>
      <c r="H57" s="4">
        <f>1.1/100*7</f>
        <v>7.7000000000000013E-2</v>
      </c>
      <c r="I57" s="4">
        <f>63/100*7</f>
        <v>4.41</v>
      </c>
      <c r="J57" s="17">
        <f>320/100*7</f>
        <v>22.400000000000002</v>
      </c>
      <c r="K57" s="110"/>
      <c r="L57" s="4">
        <v>0</v>
      </c>
      <c r="M57" s="68"/>
    </row>
    <row r="58" spans="1:14" ht="15.75" thickBot="1">
      <c r="A58" s="277" t="s">
        <v>28</v>
      </c>
      <c r="B58" s="277"/>
      <c r="C58" s="277"/>
      <c r="D58" s="105">
        <v>20</v>
      </c>
      <c r="E58" s="105">
        <v>20</v>
      </c>
      <c r="F58" s="142"/>
      <c r="G58" s="4">
        <f>18.9/100*20</f>
        <v>3.7799999999999994</v>
      </c>
      <c r="H58" s="4">
        <f>12.4/100*20</f>
        <v>2.48</v>
      </c>
      <c r="I58" s="4">
        <v>0</v>
      </c>
      <c r="J58" s="17">
        <f>187/100*20</f>
        <v>37.400000000000006</v>
      </c>
      <c r="K58" s="110"/>
      <c r="L58" s="4">
        <v>0</v>
      </c>
      <c r="M58" s="68"/>
    </row>
    <row r="59" spans="1:14" ht="15.75" thickBot="1">
      <c r="A59" s="277" t="s">
        <v>33</v>
      </c>
      <c r="B59" s="277"/>
      <c r="C59" s="277"/>
      <c r="D59" s="105">
        <v>100</v>
      </c>
      <c r="E59" s="105">
        <v>70</v>
      </c>
      <c r="F59" s="142"/>
      <c r="G59" s="4">
        <f>1.2/100*70</f>
        <v>0.84</v>
      </c>
      <c r="H59" s="4">
        <v>0</v>
      </c>
      <c r="I59" s="4">
        <f>14/100*70</f>
        <v>9.8000000000000007</v>
      </c>
      <c r="J59" s="130">
        <f>62/100*70</f>
        <v>43.4</v>
      </c>
      <c r="K59" s="112"/>
      <c r="L59" s="4">
        <f>7.5/100*70</f>
        <v>5.25</v>
      </c>
      <c r="M59" s="68"/>
    </row>
    <row r="60" spans="1:14" ht="15.75" thickBot="1">
      <c r="A60" s="277" t="s">
        <v>34</v>
      </c>
      <c r="B60" s="277"/>
      <c r="C60" s="277"/>
      <c r="D60" s="105">
        <v>7</v>
      </c>
      <c r="E60" s="105">
        <v>5</v>
      </c>
      <c r="F60" s="142"/>
      <c r="G60" s="4">
        <f>0.2/100*5</f>
        <v>0.01</v>
      </c>
      <c r="H60" s="4">
        <v>0</v>
      </c>
      <c r="I60" s="4">
        <f>10/100*5</f>
        <v>0.5</v>
      </c>
      <c r="J60" s="130">
        <f>42/100*5</f>
        <v>2.1</v>
      </c>
      <c r="K60" s="112"/>
      <c r="L60" s="4">
        <f>8.5/100*5</f>
        <v>0.42500000000000004</v>
      </c>
      <c r="M60" s="68"/>
    </row>
    <row r="61" spans="1:14" ht="15.75" thickBot="1">
      <c r="A61" s="277" t="s">
        <v>35</v>
      </c>
      <c r="B61" s="277"/>
      <c r="C61" s="277"/>
      <c r="D61" s="105">
        <v>7</v>
      </c>
      <c r="E61" s="105">
        <v>5</v>
      </c>
      <c r="F61" s="142"/>
      <c r="G61" s="4">
        <f>1/100*5</f>
        <v>0.05</v>
      </c>
      <c r="H61" s="4">
        <v>0</v>
      </c>
      <c r="I61" s="4">
        <f>6.1/100*5</f>
        <v>0.30499999999999999</v>
      </c>
      <c r="J61" s="130">
        <f>29/100*5</f>
        <v>1.45</v>
      </c>
      <c r="K61" s="112"/>
      <c r="L61" s="4">
        <f>4/100*5</f>
        <v>0.2</v>
      </c>
      <c r="M61" s="68"/>
    </row>
    <row r="62" spans="1:14" ht="15.75" thickBot="1">
      <c r="A62" s="280" t="s">
        <v>23</v>
      </c>
      <c r="B62" s="281"/>
      <c r="C62" s="281"/>
      <c r="D62" s="105">
        <v>2</v>
      </c>
      <c r="E62" s="105">
        <v>2</v>
      </c>
      <c r="F62" s="142"/>
      <c r="G62" s="4">
        <f>0.4/100*2</f>
        <v>8.0000000000000002E-3</v>
      </c>
      <c r="H62" s="4">
        <f>78.5/100*2</f>
        <v>1.57</v>
      </c>
      <c r="I62" s="4">
        <f>0.5/100*2</f>
        <v>0.01</v>
      </c>
      <c r="J62" s="130">
        <f>734/100*2</f>
        <v>14.68</v>
      </c>
      <c r="K62" s="112"/>
      <c r="L62" s="4">
        <f>0.6/100*2</f>
        <v>1.2E-2</v>
      </c>
      <c r="M62" s="68"/>
    </row>
    <row r="63" spans="1:14" ht="15.75" thickBot="1">
      <c r="A63" s="277" t="s">
        <v>36</v>
      </c>
      <c r="B63" s="277"/>
      <c r="C63" s="277"/>
      <c r="D63" s="105">
        <v>2</v>
      </c>
      <c r="E63" s="105">
        <v>2</v>
      </c>
      <c r="F63" s="142"/>
      <c r="G63" s="4">
        <v>0</v>
      </c>
      <c r="H63" s="4">
        <f>99.9/100*2</f>
        <v>1.9980000000000002</v>
      </c>
      <c r="I63" s="4">
        <v>0</v>
      </c>
      <c r="J63" s="130">
        <f>900/100*2</f>
        <v>18</v>
      </c>
      <c r="K63" s="112"/>
      <c r="L63" s="4">
        <v>0</v>
      </c>
      <c r="M63" s="68"/>
    </row>
    <row r="64" spans="1:14" ht="15.75" thickBot="1">
      <c r="A64" s="277" t="s">
        <v>37</v>
      </c>
      <c r="B64" s="277"/>
      <c r="C64" s="277"/>
      <c r="D64" s="105">
        <v>6</v>
      </c>
      <c r="E64" s="105">
        <v>6</v>
      </c>
      <c r="F64" s="142"/>
      <c r="G64" s="4">
        <f>2.6/100*6</f>
        <v>0.15600000000000003</v>
      </c>
      <c r="H64" s="4">
        <f>15/100*6</f>
        <v>0.89999999999999991</v>
      </c>
      <c r="I64" s="4">
        <f>3.6/100*6</f>
        <v>0.21600000000000003</v>
      </c>
      <c r="J64" s="17">
        <f>160/100*6</f>
        <v>9.6000000000000014</v>
      </c>
      <c r="K64" s="110"/>
      <c r="L64" s="4">
        <v>0</v>
      </c>
      <c r="M64" s="68"/>
    </row>
    <row r="65" spans="1:14" ht="15.75" thickBot="1">
      <c r="F65" s="141"/>
    </row>
    <row r="66" spans="1:14" ht="15.75" thickBot="1">
      <c r="A66" s="12" t="s">
        <v>234</v>
      </c>
      <c r="B66" s="13"/>
      <c r="C66" s="13"/>
      <c r="D66" s="146"/>
      <c r="E66" s="150"/>
      <c r="F66" s="137">
        <v>250</v>
      </c>
      <c r="G66" s="4"/>
      <c r="H66" s="4"/>
      <c r="I66" s="4"/>
      <c r="J66" s="111"/>
      <c r="K66" s="112"/>
      <c r="L66" s="4"/>
      <c r="M66" s="68"/>
    </row>
    <row r="67" spans="1:14" ht="15.75" thickBot="1">
      <c r="A67" s="277" t="s">
        <v>235</v>
      </c>
      <c r="B67" s="277"/>
      <c r="C67" s="277"/>
      <c r="D67" s="105">
        <v>20</v>
      </c>
      <c r="E67" s="105">
        <v>20</v>
      </c>
      <c r="F67" s="142"/>
      <c r="G67" s="4">
        <f>18.9/100*20</f>
        <v>3.7799999999999994</v>
      </c>
      <c r="H67" s="4">
        <v>2.48</v>
      </c>
      <c r="I67" s="4">
        <v>0</v>
      </c>
      <c r="J67" s="17">
        <v>37.4</v>
      </c>
      <c r="K67" s="110"/>
      <c r="L67" s="4">
        <v>0</v>
      </c>
      <c r="M67" s="68"/>
    </row>
    <row r="68" spans="1:14" ht="15.75" thickBot="1">
      <c r="A68" s="277" t="s">
        <v>222</v>
      </c>
      <c r="B68" s="277"/>
      <c r="C68" s="277"/>
      <c r="D68" s="105">
        <v>63</v>
      </c>
      <c r="E68" s="105">
        <v>47.5</v>
      </c>
      <c r="F68" s="142"/>
      <c r="G68" s="4">
        <f>0.8/100*47.5</f>
        <v>0.38</v>
      </c>
      <c r="H68" s="4">
        <v>0</v>
      </c>
      <c r="I68" s="4">
        <f>8.3/100*47.5</f>
        <v>3.9425000000000003</v>
      </c>
      <c r="J68" s="17">
        <f>37/100*47.5</f>
        <v>17.574999999999999</v>
      </c>
      <c r="K68" s="18"/>
      <c r="L68" s="4">
        <f>8/100*47.5</f>
        <v>3.8000000000000003</v>
      </c>
      <c r="M68" s="68"/>
    </row>
    <row r="69" spans="1:14" ht="15.75" thickBot="1">
      <c r="A69" s="277" t="s">
        <v>33</v>
      </c>
      <c r="B69" s="277"/>
      <c r="C69" s="277"/>
      <c r="D69" s="105">
        <v>53</v>
      </c>
      <c r="E69" s="105">
        <v>40</v>
      </c>
      <c r="F69" s="142"/>
      <c r="G69" s="4">
        <f>1.2/100*40</f>
        <v>0.48</v>
      </c>
      <c r="H69" s="4">
        <v>0</v>
      </c>
      <c r="I69" s="4">
        <f>14/100*40</f>
        <v>5.6000000000000005</v>
      </c>
      <c r="J69" s="113">
        <f>62/100*40</f>
        <v>24.8</v>
      </c>
      <c r="K69" s="112"/>
      <c r="L69" s="4">
        <f>7.5/100*40</f>
        <v>3</v>
      </c>
      <c r="M69" s="68"/>
    </row>
    <row r="70" spans="1:14" ht="15.75" thickBot="1">
      <c r="A70" s="115" t="s">
        <v>71</v>
      </c>
      <c r="B70" s="154" t="s">
        <v>32</v>
      </c>
      <c r="C70" s="116"/>
      <c r="D70" s="157">
        <v>63</v>
      </c>
      <c r="E70" s="157">
        <v>50</v>
      </c>
      <c r="F70" s="142"/>
      <c r="G70" s="4">
        <f>1.2/100*40</f>
        <v>0.48</v>
      </c>
      <c r="H70" s="4">
        <v>0</v>
      </c>
      <c r="I70" s="4">
        <f>4.1/100*40</f>
        <v>1.6399999999999997</v>
      </c>
      <c r="J70" s="113">
        <f>22/100*40</f>
        <v>8.8000000000000007</v>
      </c>
      <c r="K70" s="112"/>
      <c r="L70" s="4">
        <f>24/100*40</f>
        <v>9.6</v>
      </c>
      <c r="M70" s="68"/>
    </row>
    <row r="71" spans="1:14" ht="15.75" thickBot="1">
      <c r="A71" s="277" t="s">
        <v>209</v>
      </c>
      <c r="B71" s="277"/>
      <c r="C71" s="277"/>
      <c r="D71" s="105">
        <v>7</v>
      </c>
      <c r="E71" s="105">
        <v>5</v>
      </c>
      <c r="F71" s="142"/>
      <c r="G71" s="4">
        <f>0.2/100*5</f>
        <v>0.01</v>
      </c>
      <c r="H71" s="4">
        <v>0</v>
      </c>
      <c r="I71" s="4">
        <f>10/100*5</f>
        <v>0.5</v>
      </c>
      <c r="J71" s="113">
        <f>42/100*5</f>
        <v>2.1</v>
      </c>
      <c r="K71" s="112"/>
      <c r="L71" s="4">
        <f>8.5/100*5</f>
        <v>0.42500000000000004</v>
      </c>
      <c r="M71" s="68"/>
      <c r="N71">
        <v>6</v>
      </c>
    </row>
    <row r="72" spans="1:14" ht="15.75" thickBot="1">
      <c r="A72" s="280" t="s">
        <v>35</v>
      </c>
      <c r="B72" s="281"/>
      <c r="C72" s="281"/>
      <c r="D72" s="105">
        <v>7</v>
      </c>
      <c r="E72" s="105">
        <v>5</v>
      </c>
      <c r="F72" s="142"/>
      <c r="G72" s="4">
        <f>1/100*5</f>
        <v>0.05</v>
      </c>
      <c r="H72" s="4">
        <v>0</v>
      </c>
      <c r="I72" s="4">
        <f>6.1/100*5</f>
        <v>0.30499999999999999</v>
      </c>
      <c r="J72" s="113">
        <f>29/100*5</f>
        <v>1.45</v>
      </c>
      <c r="K72" s="112"/>
      <c r="L72" s="4">
        <f>4/100*5</f>
        <v>0.2</v>
      </c>
      <c r="M72" s="68"/>
    </row>
    <row r="73" spans="1:14" ht="15.75" thickBot="1">
      <c r="A73" s="280" t="s">
        <v>23</v>
      </c>
      <c r="B73" s="283"/>
      <c r="C73" s="284"/>
      <c r="D73" s="105">
        <v>2</v>
      </c>
      <c r="E73" s="105">
        <v>2</v>
      </c>
      <c r="F73" s="142"/>
      <c r="G73" s="4">
        <f>0.4/100*2</f>
        <v>8.0000000000000002E-3</v>
      </c>
      <c r="H73" s="4">
        <f>78.5/100*2</f>
        <v>1.57</v>
      </c>
      <c r="I73" s="4">
        <f>0.5/100*2</f>
        <v>0.01</v>
      </c>
      <c r="J73" s="17">
        <f>734/100*2</f>
        <v>14.68</v>
      </c>
      <c r="K73" s="18"/>
      <c r="L73" s="4">
        <v>0</v>
      </c>
      <c r="M73" s="68"/>
    </row>
    <row r="74" spans="1:14" ht="15.75" thickBot="1">
      <c r="A74" s="277" t="s">
        <v>211</v>
      </c>
      <c r="B74" s="277"/>
      <c r="C74" s="277"/>
      <c r="D74" s="105">
        <v>2</v>
      </c>
      <c r="E74" s="105">
        <v>2</v>
      </c>
      <c r="F74" s="142"/>
      <c r="G74" s="105">
        <v>0</v>
      </c>
      <c r="H74" s="105">
        <f>99.9/100*2</f>
        <v>1.9980000000000002</v>
      </c>
      <c r="I74" s="105">
        <v>0</v>
      </c>
      <c r="J74" s="17">
        <f>900/100*2</f>
        <v>18</v>
      </c>
      <c r="K74" s="18"/>
      <c r="L74" s="105">
        <v>0</v>
      </c>
      <c r="M74" s="68"/>
    </row>
    <row r="75" spans="1:14" ht="15.75" thickBot="1">
      <c r="A75" s="277" t="s">
        <v>37</v>
      </c>
      <c r="B75" s="277"/>
      <c r="C75" s="277"/>
      <c r="D75" s="105">
        <v>8</v>
      </c>
      <c r="E75" s="105">
        <v>8</v>
      </c>
      <c r="F75" s="142"/>
      <c r="G75" s="4">
        <f>2.6/100*8</f>
        <v>0.20800000000000002</v>
      </c>
      <c r="H75" s="4">
        <f>15/100*8</f>
        <v>1.2</v>
      </c>
      <c r="I75" s="4">
        <f>3.6/100*8</f>
        <v>0.28800000000000003</v>
      </c>
      <c r="J75" s="17">
        <f>160/100*8</f>
        <v>12.8</v>
      </c>
      <c r="K75" s="110"/>
      <c r="L75" s="4">
        <v>0</v>
      </c>
      <c r="M75" s="68"/>
    </row>
    <row r="76" spans="1:14" ht="15.75" thickBot="1">
      <c r="A76" s="280" t="s">
        <v>236</v>
      </c>
      <c r="B76" s="283"/>
      <c r="C76" s="284"/>
      <c r="D76" s="105">
        <v>1.6</v>
      </c>
      <c r="E76" s="105">
        <v>1.6</v>
      </c>
      <c r="F76" s="142"/>
      <c r="G76" s="4">
        <f>2.2/100*1.6</f>
        <v>3.5200000000000002E-2</v>
      </c>
      <c r="H76" s="4">
        <v>0</v>
      </c>
      <c r="I76" s="4">
        <f>15.8/100*1.6</f>
        <v>0.25280000000000002</v>
      </c>
      <c r="J76" s="113">
        <f>63.2/100*1.6</f>
        <v>1.0112000000000001</v>
      </c>
      <c r="K76" s="112"/>
      <c r="L76" s="4">
        <f>26/100*1.6</f>
        <v>0.41600000000000004</v>
      </c>
      <c r="M76" s="68"/>
    </row>
    <row r="77" spans="1:14" ht="15.75" thickBot="1">
      <c r="A77" s="145"/>
      <c r="B77" s="146" t="s">
        <v>24</v>
      </c>
      <c r="C77" s="152"/>
      <c r="D77" s="147">
        <v>1.6</v>
      </c>
      <c r="E77" s="147">
        <v>1.6</v>
      </c>
      <c r="F77" s="142"/>
      <c r="G77" s="4">
        <v>0</v>
      </c>
      <c r="H77" s="4">
        <v>0</v>
      </c>
      <c r="I77" s="4">
        <f>100/100*E77</f>
        <v>1.6</v>
      </c>
      <c r="J77" s="155">
        <f>400/100*E77</f>
        <v>6.4</v>
      </c>
      <c r="K77" s="156"/>
      <c r="L77" s="4">
        <v>0</v>
      </c>
      <c r="M77" s="68"/>
    </row>
    <row r="78" spans="1:14" ht="15.75" thickBot="1">
      <c r="A78" s="277" t="s">
        <v>214</v>
      </c>
      <c r="B78" s="277"/>
      <c r="C78" s="277"/>
      <c r="D78" s="105">
        <v>6</v>
      </c>
      <c r="E78" s="105">
        <v>5.6</v>
      </c>
      <c r="F78" s="142"/>
      <c r="G78" s="4">
        <f>2.6/100*5.6</f>
        <v>0.14560000000000001</v>
      </c>
      <c r="H78" s="4">
        <v>0</v>
      </c>
      <c r="I78" s="4">
        <f>6.5/100*5.6</f>
        <v>0.36399999999999999</v>
      </c>
      <c r="J78" s="17">
        <f>37/100*5.6</f>
        <v>2.0720000000000001</v>
      </c>
      <c r="K78" s="110"/>
      <c r="L78" s="4">
        <f>126/100*5.6</f>
        <v>7.0559999999999992</v>
      </c>
      <c r="M78" s="68"/>
    </row>
    <row r="79" spans="1:14" ht="15.75" thickBot="1">
      <c r="F79" s="141"/>
    </row>
    <row r="80" spans="1:14" ht="15.75" thickBot="1">
      <c r="A80" s="278" t="s">
        <v>77</v>
      </c>
      <c r="B80" s="279"/>
      <c r="C80" s="279"/>
      <c r="D80" s="178"/>
      <c r="E80" s="21"/>
      <c r="F80" s="137">
        <v>250</v>
      </c>
      <c r="G80" s="3"/>
      <c r="H80" s="3"/>
      <c r="I80" s="3"/>
      <c r="J80" s="111"/>
      <c r="K80" s="112"/>
      <c r="L80" s="3"/>
      <c r="M80" s="5"/>
    </row>
    <row r="81" spans="1:14" ht="15.75" thickBot="1">
      <c r="A81" s="277" t="s">
        <v>235</v>
      </c>
      <c r="B81" s="277"/>
      <c r="C81" s="277"/>
      <c r="D81" s="15">
        <v>20</v>
      </c>
      <c r="E81" s="15">
        <v>20</v>
      </c>
      <c r="F81" s="142"/>
      <c r="G81" s="3">
        <f>18.9/100*20</f>
        <v>3.7799999999999994</v>
      </c>
      <c r="H81" s="3">
        <v>2.48</v>
      </c>
      <c r="I81" s="3">
        <v>0</v>
      </c>
      <c r="J81" s="17">
        <v>37.4</v>
      </c>
      <c r="K81" s="110"/>
      <c r="L81" s="3">
        <v>0</v>
      </c>
      <c r="M81" s="5"/>
    </row>
    <row r="82" spans="1:14" ht="15.75" thickBot="1">
      <c r="A82" s="277" t="s">
        <v>209</v>
      </c>
      <c r="B82" s="277"/>
      <c r="C82" s="277"/>
      <c r="D82" s="15">
        <v>7</v>
      </c>
      <c r="E82" s="15">
        <v>5</v>
      </c>
      <c r="F82" s="142"/>
      <c r="G82" s="3">
        <f>0.2/100*5</f>
        <v>0.01</v>
      </c>
      <c r="H82" s="3">
        <v>0</v>
      </c>
      <c r="I82" s="3">
        <f>10/100*5</f>
        <v>0.5</v>
      </c>
      <c r="J82" s="113">
        <f>42/100*5</f>
        <v>2.1</v>
      </c>
      <c r="K82" s="112"/>
      <c r="L82" s="3">
        <f>8.5/100*5</f>
        <v>0.42500000000000004</v>
      </c>
      <c r="M82" s="5"/>
    </row>
    <row r="83" spans="1:14" ht="15.75" thickBot="1">
      <c r="A83" s="280" t="s">
        <v>35</v>
      </c>
      <c r="B83" s="281"/>
      <c r="C83" s="281"/>
      <c r="D83" s="15">
        <v>7</v>
      </c>
      <c r="E83" s="15">
        <v>5</v>
      </c>
      <c r="F83" s="142"/>
      <c r="G83" s="3">
        <f>1/100*5</f>
        <v>0.05</v>
      </c>
      <c r="H83" s="3">
        <v>0</v>
      </c>
      <c r="I83" s="3">
        <f>6.1/100*5</f>
        <v>0.30499999999999999</v>
      </c>
      <c r="J83" s="113">
        <f>29/100*5</f>
        <v>1.45</v>
      </c>
      <c r="K83" s="112"/>
      <c r="L83" s="3">
        <f>4/100*5</f>
        <v>0.2</v>
      </c>
      <c r="M83" s="5"/>
    </row>
    <row r="84" spans="1:14" ht="15.75" thickBot="1">
      <c r="A84" s="280" t="s">
        <v>23</v>
      </c>
      <c r="B84" s="283"/>
      <c r="C84" s="284"/>
      <c r="D84" s="15">
        <v>2</v>
      </c>
      <c r="E84" s="15">
        <v>2</v>
      </c>
      <c r="F84" s="142"/>
      <c r="G84" s="3">
        <f>0.4/100*2</f>
        <v>8.0000000000000002E-3</v>
      </c>
      <c r="H84" s="3">
        <f>78.5/100*2</f>
        <v>1.57</v>
      </c>
      <c r="I84" s="3">
        <f>0.5/100*2</f>
        <v>0.01</v>
      </c>
      <c r="J84" s="17">
        <f>734/100*2</f>
        <v>14.68</v>
      </c>
      <c r="K84" s="18"/>
      <c r="L84" s="3">
        <v>0</v>
      </c>
      <c r="M84" s="5"/>
    </row>
    <row r="85" spans="1:14" ht="15.75" thickBot="1">
      <c r="A85" s="277" t="s">
        <v>211</v>
      </c>
      <c r="B85" s="277"/>
      <c r="C85" s="277"/>
      <c r="D85" s="15">
        <v>2</v>
      </c>
      <c r="E85" s="15">
        <v>2</v>
      </c>
      <c r="F85" s="142"/>
      <c r="G85" s="1">
        <v>0</v>
      </c>
      <c r="H85" s="1">
        <f>99.9/100*2</f>
        <v>1.9980000000000002</v>
      </c>
      <c r="I85" s="1">
        <v>0</v>
      </c>
      <c r="J85" s="17">
        <f>900/100*2</f>
        <v>18</v>
      </c>
      <c r="K85" s="18"/>
      <c r="L85" s="1">
        <v>0</v>
      </c>
      <c r="M85" s="5"/>
      <c r="N85">
        <v>7</v>
      </c>
    </row>
    <row r="86" spans="1:14" ht="15.75" thickBot="1">
      <c r="A86" s="115"/>
      <c r="B86" s="154" t="s">
        <v>206</v>
      </c>
      <c r="C86" s="116"/>
      <c r="D86" s="116">
        <v>15</v>
      </c>
      <c r="E86" s="45">
        <v>15</v>
      </c>
      <c r="F86" s="142"/>
      <c r="G86" s="3">
        <f>7/100*52</f>
        <v>3.6400000000000006</v>
      </c>
      <c r="H86" s="3">
        <f>1/100*52</f>
        <v>0.52</v>
      </c>
      <c r="I86" s="17">
        <f>74/100*52</f>
        <v>38.479999999999997</v>
      </c>
      <c r="J86" s="17">
        <f>330/100*52</f>
        <v>171.6</v>
      </c>
      <c r="K86" s="110"/>
      <c r="L86" s="3">
        <v>0</v>
      </c>
      <c r="M86" s="5"/>
    </row>
    <row r="87" spans="1:14" ht="15.75" thickBot="1">
      <c r="A87" s="277" t="s">
        <v>37</v>
      </c>
      <c r="B87" s="277"/>
      <c r="C87" s="277"/>
      <c r="D87" s="15">
        <v>4</v>
      </c>
      <c r="E87" s="15">
        <v>4</v>
      </c>
      <c r="F87" s="142"/>
      <c r="G87" s="1">
        <f>2.6/100*4</f>
        <v>0.10400000000000001</v>
      </c>
      <c r="H87" s="1">
        <f>15/100*4</f>
        <v>0.6</v>
      </c>
      <c r="I87" s="1">
        <f>3.6/100*4</f>
        <v>0.14400000000000002</v>
      </c>
      <c r="J87" s="17">
        <f>160/100*4</f>
        <v>6.4</v>
      </c>
      <c r="K87" s="18"/>
      <c r="L87" s="1">
        <v>0</v>
      </c>
      <c r="M87" s="5"/>
    </row>
    <row r="88" spans="1:14" ht="15.75" thickBot="1">
      <c r="A88" s="280" t="s">
        <v>39</v>
      </c>
      <c r="B88" s="281"/>
      <c r="C88" s="281"/>
      <c r="D88" s="15">
        <v>2.1</v>
      </c>
      <c r="E88" s="15">
        <v>2</v>
      </c>
      <c r="F88" s="142"/>
      <c r="G88" s="3">
        <f>6.5/100*2</f>
        <v>0.13</v>
      </c>
      <c r="H88" s="3">
        <f>0.5/100*2</f>
        <v>0.01</v>
      </c>
      <c r="I88" s="3">
        <f>29.9/100*2</f>
        <v>0.59799999999999998</v>
      </c>
      <c r="J88" s="113">
        <f>142/100*2</f>
        <v>2.84</v>
      </c>
      <c r="K88" s="112"/>
      <c r="L88" s="3">
        <f>31.2/100*2</f>
        <v>0.624</v>
      </c>
      <c r="M88" s="5"/>
    </row>
    <row r="89" spans="1:14" ht="15.75" thickBot="1">
      <c r="A89" s="280" t="s">
        <v>236</v>
      </c>
      <c r="B89" s="283"/>
      <c r="C89" s="284"/>
      <c r="D89" s="15">
        <v>3</v>
      </c>
      <c r="E89" s="15">
        <v>3</v>
      </c>
      <c r="F89" s="142"/>
      <c r="G89" s="3">
        <f>2.2/100*3</f>
        <v>6.6000000000000003E-2</v>
      </c>
      <c r="H89" s="3">
        <v>0</v>
      </c>
      <c r="I89" s="3">
        <f>15.8/100*3</f>
        <v>0.47399999999999998</v>
      </c>
      <c r="J89" s="113">
        <f>63.2/100*3</f>
        <v>1.8959999999999999</v>
      </c>
      <c r="K89" s="112"/>
      <c r="L89" s="3">
        <f>26/100*3</f>
        <v>0.78</v>
      </c>
      <c r="M89" s="5"/>
    </row>
    <row r="90" spans="1:14" ht="15.75" thickBot="1">
      <c r="A90" s="277" t="s">
        <v>214</v>
      </c>
      <c r="B90" s="277"/>
      <c r="C90" s="277"/>
      <c r="D90" s="15">
        <v>6</v>
      </c>
      <c r="E90" s="15">
        <v>5.6</v>
      </c>
      <c r="F90" s="142"/>
      <c r="G90" s="3">
        <f>2.6/100*5.6</f>
        <v>0.14560000000000001</v>
      </c>
      <c r="H90" s="3">
        <v>0</v>
      </c>
      <c r="I90" s="3">
        <f>6.5/100*5.6</f>
        <v>0.36399999999999999</v>
      </c>
      <c r="J90" s="17">
        <f>37/100*5.6</f>
        <v>2.0720000000000001</v>
      </c>
      <c r="K90" s="110"/>
      <c r="L90" s="3">
        <f>126/100*5.6</f>
        <v>7.0559999999999992</v>
      </c>
      <c r="M90" s="5"/>
    </row>
    <row r="91" spans="1:14" ht="15.75" thickBot="1">
      <c r="F91" s="141"/>
    </row>
    <row r="92" spans="1:14" ht="15.75" thickBot="1">
      <c r="A92" s="278" t="s">
        <v>237</v>
      </c>
      <c r="B92" s="279"/>
      <c r="C92" s="279"/>
      <c r="D92" s="178"/>
      <c r="E92" s="21"/>
      <c r="F92" s="137">
        <v>250</v>
      </c>
      <c r="G92" s="3"/>
      <c r="H92" s="3"/>
      <c r="I92" s="3"/>
      <c r="J92" s="17"/>
      <c r="K92" s="18"/>
      <c r="L92" s="3"/>
      <c r="M92" s="5"/>
    </row>
    <row r="93" spans="1:14" ht="15.75" thickBot="1">
      <c r="A93" s="277" t="s">
        <v>235</v>
      </c>
      <c r="B93" s="277"/>
      <c r="C93" s="277"/>
      <c r="D93" s="15">
        <v>20</v>
      </c>
      <c r="E93" s="15">
        <v>20</v>
      </c>
      <c r="F93" s="142"/>
      <c r="G93" s="3">
        <f>18.9/100*20</f>
        <v>3.7799999999999994</v>
      </c>
      <c r="H93" s="3">
        <v>2.48</v>
      </c>
      <c r="I93" s="3">
        <v>0</v>
      </c>
      <c r="J93" s="17">
        <v>37.4</v>
      </c>
      <c r="K93" s="110"/>
      <c r="L93" s="3">
        <v>0</v>
      </c>
      <c r="M93" s="5"/>
    </row>
    <row r="94" spans="1:14" ht="15.75" thickBot="1">
      <c r="A94" s="277" t="s">
        <v>33</v>
      </c>
      <c r="B94" s="277"/>
      <c r="C94" s="277"/>
      <c r="D94" s="15">
        <v>150</v>
      </c>
      <c r="E94" s="15">
        <v>130</v>
      </c>
      <c r="F94" s="142"/>
      <c r="G94" s="3">
        <f>1.2/100*130</f>
        <v>1.56</v>
      </c>
      <c r="H94" s="3">
        <v>0</v>
      </c>
      <c r="I94" s="3">
        <f>14/100*130</f>
        <v>18.200000000000003</v>
      </c>
      <c r="J94" s="17">
        <f>62/100*130</f>
        <v>80.599999999999994</v>
      </c>
      <c r="K94" s="18"/>
      <c r="L94" s="3">
        <f>7.5/100*130</f>
        <v>9.75</v>
      </c>
      <c r="M94" s="5"/>
    </row>
    <row r="95" spans="1:14" ht="15.75" thickBot="1">
      <c r="A95" s="277" t="s">
        <v>209</v>
      </c>
      <c r="B95" s="277"/>
      <c r="C95" s="277"/>
      <c r="D95" s="15">
        <v>7</v>
      </c>
      <c r="E95" s="15">
        <v>5</v>
      </c>
      <c r="F95" s="142"/>
      <c r="G95" s="3">
        <f>0.2/100*5</f>
        <v>0.01</v>
      </c>
      <c r="H95" s="3">
        <v>0</v>
      </c>
      <c r="I95" s="3">
        <f>10/100*5</f>
        <v>0.5</v>
      </c>
      <c r="J95" s="113">
        <f>42/100*5</f>
        <v>2.1</v>
      </c>
      <c r="K95" s="112"/>
      <c r="L95" s="3">
        <f>8.5/100*5</f>
        <v>0.42500000000000004</v>
      </c>
      <c r="M95" s="5"/>
    </row>
    <row r="96" spans="1:14" ht="15.75" thickBot="1">
      <c r="A96" s="280" t="s">
        <v>35</v>
      </c>
      <c r="B96" s="281"/>
      <c r="C96" s="281"/>
      <c r="D96" s="15">
        <v>7</v>
      </c>
      <c r="E96" s="15">
        <v>5</v>
      </c>
      <c r="F96" s="142"/>
      <c r="G96" s="3">
        <f>1/100*5</f>
        <v>0.05</v>
      </c>
      <c r="H96" s="3">
        <v>0</v>
      </c>
      <c r="I96" s="3">
        <f>6.1/100*5</f>
        <v>0.30499999999999999</v>
      </c>
      <c r="J96" s="113">
        <f>29/100*5</f>
        <v>1.45</v>
      </c>
      <c r="K96" s="114"/>
      <c r="L96" s="3">
        <f>4/100*5</f>
        <v>0.2</v>
      </c>
      <c r="M96" s="5"/>
      <c r="N96">
        <v>8</v>
      </c>
    </row>
    <row r="97" spans="1:14" ht="15.75" thickBot="1">
      <c r="A97" s="280" t="s">
        <v>23</v>
      </c>
      <c r="B97" s="283"/>
      <c r="C97" s="284"/>
      <c r="D97" s="15">
        <v>2</v>
      </c>
      <c r="E97" s="15">
        <v>2</v>
      </c>
      <c r="F97" s="142"/>
      <c r="G97" s="3">
        <f>0.4/100*2</f>
        <v>8.0000000000000002E-3</v>
      </c>
      <c r="H97" s="3">
        <f>78.5/100*2</f>
        <v>1.57</v>
      </c>
      <c r="I97" s="3">
        <f>0.5/100*2</f>
        <v>0.01</v>
      </c>
      <c r="J97" s="17">
        <f>734/100*2</f>
        <v>14.68</v>
      </c>
      <c r="K97" s="18"/>
      <c r="L97" s="3">
        <v>0</v>
      </c>
      <c r="M97" s="5"/>
    </row>
    <row r="98" spans="1:14" ht="15.75" thickBot="1">
      <c r="A98" s="277" t="s">
        <v>211</v>
      </c>
      <c r="B98" s="277"/>
      <c r="C98" s="277"/>
      <c r="D98" s="15">
        <v>2</v>
      </c>
      <c r="E98" s="15">
        <v>2</v>
      </c>
      <c r="F98" s="142"/>
      <c r="G98" s="1">
        <v>0</v>
      </c>
      <c r="H98" s="1">
        <f>99.9/100*2</f>
        <v>1.9980000000000002</v>
      </c>
      <c r="I98" s="1">
        <v>0</v>
      </c>
      <c r="J98" s="17">
        <f>900/100*2</f>
        <v>18</v>
      </c>
      <c r="K98" s="18"/>
      <c r="L98" s="1">
        <v>0</v>
      </c>
      <c r="M98" s="5"/>
    </row>
    <row r="99" spans="1:14" ht="15.75" thickBot="1">
      <c r="A99" s="277" t="s">
        <v>37</v>
      </c>
      <c r="B99" s="277"/>
      <c r="C99" s="277"/>
      <c r="D99" s="15">
        <v>4</v>
      </c>
      <c r="E99" s="15">
        <v>4</v>
      </c>
      <c r="F99" s="142"/>
      <c r="G99" s="3">
        <f>2.6/100*4</f>
        <v>0.10400000000000001</v>
      </c>
      <c r="H99" s="3">
        <f>15/100*4</f>
        <v>0.6</v>
      </c>
      <c r="I99" s="3">
        <f>3.6/100*4</f>
        <v>0.14400000000000002</v>
      </c>
      <c r="J99" s="17">
        <f>160/100*4</f>
        <v>6.4</v>
      </c>
      <c r="K99" s="110"/>
      <c r="L99" s="3">
        <v>0</v>
      </c>
      <c r="M99" s="5"/>
    </row>
    <row r="100" spans="1:14" ht="15.75" thickBot="1">
      <c r="A100" s="277" t="s">
        <v>214</v>
      </c>
      <c r="B100" s="277"/>
      <c r="C100" s="277"/>
      <c r="D100" s="15">
        <v>6</v>
      </c>
      <c r="E100" s="15">
        <v>5.6</v>
      </c>
      <c r="F100" s="142"/>
      <c r="G100" s="3">
        <f>2.6/100*5.6</f>
        <v>0.14560000000000001</v>
      </c>
      <c r="H100" s="3">
        <v>0</v>
      </c>
      <c r="I100" s="3">
        <f>6.5/100*5.6</f>
        <v>0.36399999999999999</v>
      </c>
      <c r="J100" s="17">
        <f>37/100*5.6</f>
        <v>2.0720000000000001</v>
      </c>
      <c r="K100" s="110"/>
      <c r="L100" s="3">
        <f>126/100*5.6</f>
        <v>7.0559999999999992</v>
      </c>
      <c r="M100" s="5"/>
    </row>
    <row r="101" spans="1:14" ht="15.75" thickBot="1">
      <c r="F101" s="141"/>
    </row>
    <row r="102" spans="1:14" ht="15.75" thickBot="1">
      <c r="A102" s="12" t="s">
        <v>192</v>
      </c>
      <c r="B102" s="13"/>
      <c r="C102" s="13"/>
      <c r="D102" s="15"/>
      <c r="E102" s="15"/>
      <c r="F102" s="137">
        <v>250</v>
      </c>
      <c r="G102" s="105"/>
      <c r="H102" s="105"/>
      <c r="I102" s="105"/>
      <c r="J102" s="7"/>
      <c r="K102" s="8"/>
      <c r="L102" s="105"/>
      <c r="M102" s="5"/>
    </row>
    <row r="103" spans="1:14" ht="15.75" thickBot="1">
      <c r="A103" s="12"/>
      <c r="B103" s="146" t="s">
        <v>235</v>
      </c>
      <c r="C103" s="13"/>
      <c r="D103" s="15">
        <v>20</v>
      </c>
      <c r="E103" s="15">
        <v>20</v>
      </c>
      <c r="F103" s="142"/>
      <c r="G103" s="3">
        <f>18.9/100*20</f>
        <v>3.7799999999999994</v>
      </c>
      <c r="H103" s="3">
        <v>2.48</v>
      </c>
      <c r="I103" s="3">
        <v>0</v>
      </c>
      <c r="J103" s="17">
        <v>37.4</v>
      </c>
      <c r="K103" s="110"/>
      <c r="L103" s="3">
        <v>0</v>
      </c>
      <c r="M103" s="5"/>
    </row>
    <row r="104" spans="1:14" ht="15.75" thickBot="1">
      <c r="A104" s="12"/>
      <c r="B104" s="154" t="s">
        <v>238</v>
      </c>
      <c r="C104" s="13"/>
      <c r="D104" s="15">
        <v>21</v>
      </c>
      <c r="E104" s="15">
        <v>20</v>
      </c>
      <c r="F104" s="142"/>
      <c r="G104" s="3">
        <f>20.5/100*20</f>
        <v>4.0999999999999996</v>
      </c>
      <c r="H104" s="3">
        <f>2/100*20</f>
        <v>0.4</v>
      </c>
      <c r="I104" s="3">
        <f>44/100*20</f>
        <v>8.8000000000000007</v>
      </c>
      <c r="J104" s="113">
        <f>298/100*20</f>
        <v>59.6</v>
      </c>
      <c r="K104" s="112"/>
      <c r="L104" s="3">
        <f>3.9/100*20</f>
        <v>0.78</v>
      </c>
      <c r="M104" s="5"/>
    </row>
    <row r="105" spans="1:14" ht="15.75" thickBot="1">
      <c r="A105" s="12"/>
      <c r="B105" s="146" t="s">
        <v>33</v>
      </c>
      <c r="C105" s="13"/>
      <c r="D105" s="15">
        <v>100</v>
      </c>
      <c r="E105" s="15">
        <v>87</v>
      </c>
      <c r="F105" s="142"/>
      <c r="G105" s="3">
        <f>1.2/100*87</f>
        <v>1.044</v>
      </c>
      <c r="H105" s="3">
        <v>0</v>
      </c>
      <c r="I105" s="3">
        <f>14/100*87</f>
        <v>12.180000000000001</v>
      </c>
      <c r="J105" s="113">
        <f>62/100*87</f>
        <v>53.94</v>
      </c>
      <c r="K105" s="112"/>
      <c r="L105" s="3">
        <f>7.5/100*87</f>
        <v>6.5249999999999995</v>
      </c>
      <c r="M105" s="5"/>
    </row>
    <row r="106" spans="1:14" ht="15.75" thickBot="1">
      <c r="A106" s="277" t="s">
        <v>209</v>
      </c>
      <c r="B106" s="277"/>
      <c r="C106" s="277"/>
      <c r="D106" s="15">
        <v>7</v>
      </c>
      <c r="E106" s="15">
        <v>5</v>
      </c>
      <c r="F106" s="142"/>
      <c r="G106" s="3">
        <f>0.2/100*5</f>
        <v>0.01</v>
      </c>
      <c r="H106" s="3">
        <v>0</v>
      </c>
      <c r="I106" s="3">
        <f>10/100*5</f>
        <v>0.5</v>
      </c>
      <c r="J106" s="113">
        <f>42/100*5</f>
        <v>2.1</v>
      </c>
      <c r="K106" s="112"/>
      <c r="L106" s="3">
        <f>8.4/100*5</f>
        <v>0.42000000000000004</v>
      </c>
      <c r="M106" s="5"/>
    </row>
    <row r="107" spans="1:14" ht="15.75" thickBot="1">
      <c r="A107" s="280" t="s">
        <v>35</v>
      </c>
      <c r="B107" s="281"/>
      <c r="C107" s="281"/>
      <c r="D107" s="15">
        <v>7</v>
      </c>
      <c r="E107" s="15">
        <v>5</v>
      </c>
      <c r="F107" s="142"/>
      <c r="G107" s="3">
        <f>1/100*5</f>
        <v>0.05</v>
      </c>
      <c r="H107" s="3">
        <v>0</v>
      </c>
      <c r="I107" s="3">
        <f>6.1/100*5</f>
        <v>0.30499999999999999</v>
      </c>
      <c r="J107" s="113">
        <f>29/100*5</f>
        <v>1.45</v>
      </c>
      <c r="K107" s="112"/>
      <c r="L107" s="3">
        <f>4/100*5</f>
        <v>0.2</v>
      </c>
      <c r="M107" s="5"/>
      <c r="N107">
        <v>9</v>
      </c>
    </row>
    <row r="108" spans="1:14" ht="15.75" thickBot="1">
      <c r="A108" s="280" t="s">
        <v>23</v>
      </c>
      <c r="B108" s="283"/>
      <c r="C108" s="284"/>
      <c r="D108" s="15">
        <v>2</v>
      </c>
      <c r="E108" s="15">
        <v>2</v>
      </c>
      <c r="F108" s="142"/>
      <c r="G108" s="3">
        <f>0.4/100*2</f>
        <v>8.0000000000000002E-3</v>
      </c>
      <c r="H108" s="3">
        <f>78.5/100*2</f>
        <v>1.57</v>
      </c>
      <c r="I108" s="3">
        <f>0.5/100*2</f>
        <v>0.01</v>
      </c>
      <c r="J108" s="17">
        <f>734/100*2</f>
        <v>14.68</v>
      </c>
      <c r="K108" s="18"/>
      <c r="L108" s="3">
        <v>0</v>
      </c>
      <c r="M108" s="5"/>
    </row>
    <row r="109" spans="1:14" ht="15.75" thickBot="1">
      <c r="A109" s="277" t="s">
        <v>211</v>
      </c>
      <c r="B109" s="277"/>
      <c r="C109" s="277"/>
      <c r="D109" s="15">
        <v>2</v>
      </c>
      <c r="E109" s="15">
        <v>2</v>
      </c>
      <c r="F109" s="142"/>
      <c r="G109" s="1">
        <v>0</v>
      </c>
      <c r="H109" s="1">
        <f>99.9/100*2</f>
        <v>1.9980000000000002</v>
      </c>
      <c r="I109" s="1">
        <v>0</v>
      </c>
      <c r="J109" s="17">
        <f>900/100*2</f>
        <v>18</v>
      </c>
      <c r="K109" s="18"/>
      <c r="L109" s="1">
        <v>0</v>
      </c>
      <c r="M109" s="5"/>
    </row>
    <row r="110" spans="1:14" ht="15.75" thickBot="1">
      <c r="A110" s="277" t="s">
        <v>37</v>
      </c>
      <c r="B110" s="277"/>
      <c r="C110" s="277"/>
      <c r="D110" s="15">
        <v>4</v>
      </c>
      <c r="E110" s="15">
        <v>4</v>
      </c>
      <c r="F110" s="142"/>
      <c r="G110" s="1">
        <f>2.6/100*4</f>
        <v>0.10400000000000001</v>
      </c>
      <c r="H110" s="1">
        <f>15/100*4</f>
        <v>0.6</v>
      </c>
      <c r="I110" s="1">
        <f>3.6/100*4</f>
        <v>0.14400000000000002</v>
      </c>
      <c r="J110" s="17">
        <f>160/100*4</f>
        <v>6.4</v>
      </c>
      <c r="K110" s="110"/>
      <c r="L110" s="1">
        <v>0</v>
      </c>
      <c r="M110" s="5"/>
    </row>
    <row r="111" spans="1:14" ht="15.75" thickBot="1">
      <c r="A111" s="278" t="s">
        <v>193</v>
      </c>
      <c r="B111" s="279"/>
      <c r="C111" s="298"/>
      <c r="D111" s="15">
        <v>30</v>
      </c>
      <c r="E111" s="15"/>
      <c r="F111" s="137">
        <v>20</v>
      </c>
      <c r="G111" s="3">
        <f>7/100*20</f>
        <v>1.4000000000000001</v>
      </c>
      <c r="H111" s="3">
        <f>1/100*20</f>
        <v>0.2</v>
      </c>
      <c r="I111" s="3">
        <f>47/100*20</f>
        <v>9.3999999999999986</v>
      </c>
      <c r="J111" s="17">
        <f>230/100*20</f>
        <v>46</v>
      </c>
      <c r="K111" s="110"/>
      <c r="L111" s="3">
        <v>0</v>
      </c>
      <c r="M111" s="5"/>
    </row>
    <row r="112" spans="1:14" ht="15.75" thickBot="1">
      <c r="F112" s="141"/>
    </row>
    <row r="113" spans="1:14" ht="15.75" thickBot="1">
      <c r="A113" s="278" t="s">
        <v>239</v>
      </c>
      <c r="B113" s="279"/>
      <c r="C113" s="298"/>
      <c r="D113" s="15"/>
      <c r="E113" s="15"/>
      <c r="F113" s="137">
        <v>250</v>
      </c>
      <c r="G113" s="3"/>
      <c r="H113" s="3"/>
      <c r="I113" s="3"/>
      <c r="J113" s="111"/>
      <c r="K113" s="112"/>
      <c r="L113" s="3"/>
      <c r="M113" s="5"/>
    </row>
    <row r="114" spans="1:14" ht="15.75" thickBot="1">
      <c r="A114" s="277" t="s">
        <v>28</v>
      </c>
      <c r="B114" s="277"/>
      <c r="C114" s="277"/>
      <c r="D114" s="15">
        <v>20</v>
      </c>
      <c r="E114" s="15">
        <v>20</v>
      </c>
      <c r="F114" s="142"/>
      <c r="G114" s="3">
        <f>18.9/100*20</f>
        <v>3.7799999999999994</v>
      </c>
      <c r="H114" s="3">
        <f>12.4/100*20</f>
        <v>2.48</v>
      </c>
      <c r="I114" s="3">
        <v>0</v>
      </c>
      <c r="J114" s="17">
        <f>187/100*20</f>
        <v>37.400000000000006</v>
      </c>
      <c r="K114" s="110"/>
      <c r="L114" s="3">
        <v>0</v>
      </c>
      <c r="M114" s="5"/>
    </row>
    <row r="115" spans="1:14" ht="15.75" thickBot="1">
      <c r="A115" s="277" t="s">
        <v>33</v>
      </c>
      <c r="B115" s="277"/>
      <c r="C115" s="277"/>
      <c r="D115" s="15">
        <v>130</v>
      </c>
      <c r="E115" s="15">
        <v>107.5</v>
      </c>
      <c r="F115" s="142"/>
      <c r="G115" s="3">
        <f>1.2/100*107.5</f>
        <v>1.29</v>
      </c>
      <c r="H115" s="3">
        <v>0</v>
      </c>
      <c r="I115" s="3">
        <f>14/100*107.5</f>
        <v>15.05</v>
      </c>
      <c r="J115" s="113">
        <f>62/100*107.5</f>
        <v>66.650000000000006</v>
      </c>
      <c r="K115" s="112"/>
      <c r="L115" s="3">
        <f>7.5/100*107.5</f>
        <v>8.0625</v>
      </c>
      <c r="M115" s="5"/>
    </row>
    <row r="116" spans="1:14" ht="15.75" thickBot="1">
      <c r="A116" s="277" t="s">
        <v>34</v>
      </c>
      <c r="B116" s="277"/>
      <c r="C116" s="277"/>
      <c r="D116" s="15">
        <v>7</v>
      </c>
      <c r="E116" s="15">
        <v>5</v>
      </c>
      <c r="F116" s="142"/>
      <c r="G116" s="3">
        <f>0.2/100*5</f>
        <v>0.01</v>
      </c>
      <c r="H116" s="3">
        <v>0</v>
      </c>
      <c r="I116" s="3">
        <f>10/100*5</f>
        <v>0.5</v>
      </c>
      <c r="J116" s="113">
        <f>42/100*5</f>
        <v>2.1</v>
      </c>
      <c r="K116" s="112"/>
      <c r="L116" s="3">
        <f>8.5/100*5</f>
        <v>0.42500000000000004</v>
      </c>
      <c r="M116" s="5"/>
    </row>
    <row r="117" spans="1:14" ht="15.75" thickBot="1">
      <c r="A117" s="277" t="s">
        <v>35</v>
      </c>
      <c r="B117" s="277"/>
      <c r="C117" s="277"/>
      <c r="D117" s="15">
        <v>7</v>
      </c>
      <c r="E117" s="15">
        <v>5</v>
      </c>
      <c r="F117" s="142"/>
      <c r="G117" s="3">
        <f>1/100*5</f>
        <v>0.05</v>
      </c>
      <c r="H117" s="3">
        <v>0</v>
      </c>
      <c r="I117" s="3">
        <f>6.1/100*5</f>
        <v>0.30499999999999999</v>
      </c>
      <c r="J117" s="113">
        <f>29/100*5</f>
        <v>1.45</v>
      </c>
      <c r="K117" s="112"/>
      <c r="L117" s="3">
        <f>4/100*5</f>
        <v>0.2</v>
      </c>
      <c r="M117" s="5"/>
    </row>
    <row r="118" spans="1:14" ht="15.75" thickBot="1">
      <c r="A118" s="280" t="s">
        <v>23</v>
      </c>
      <c r="B118" s="281"/>
      <c r="C118" s="281"/>
      <c r="D118" s="15">
        <v>2</v>
      </c>
      <c r="E118" s="15">
        <v>2</v>
      </c>
      <c r="F118" s="142"/>
      <c r="G118" s="3">
        <f>0.4/100*2</f>
        <v>8.0000000000000002E-3</v>
      </c>
      <c r="H118" s="3">
        <f>78.5/100*2</f>
        <v>1.57</v>
      </c>
      <c r="I118" s="3">
        <f>0.5/100*2</f>
        <v>0.01</v>
      </c>
      <c r="J118" s="113">
        <f>734/100*2</f>
        <v>14.68</v>
      </c>
      <c r="K118" s="112"/>
      <c r="L118" s="3">
        <f>0.6/100*2</f>
        <v>1.2E-2</v>
      </c>
      <c r="M118" s="5"/>
      <c r="N118">
        <v>10</v>
      </c>
    </row>
    <row r="119" spans="1:14" ht="15.75" thickBot="1">
      <c r="A119" s="277" t="s">
        <v>36</v>
      </c>
      <c r="B119" s="277"/>
      <c r="C119" s="277"/>
      <c r="D119" s="15">
        <v>2</v>
      </c>
      <c r="E119" s="15">
        <v>2</v>
      </c>
      <c r="F119" s="142"/>
      <c r="G119" s="3">
        <v>0</v>
      </c>
      <c r="H119" s="3">
        <f>99.9/100*2</f>
        <v>1.9980000000000002</v>
      </c>
      <c r="I119" s="3">
        <v>0</v>
      </c>
      <c r="J119" s="113">
        <f>900/100*2</f>
        <v>18</v>
      </c>
      <c r="K119" s="112"/>
      <c r="L119" s="3">
        <v>0</v>
      </c>
      <c r="M119" s="5"/>
    </row>
    <row r="120" spans="1:14" ht="15.75" thickBot="1">
      <c r="A120" s="277" t="s">
        <v>37</v>
      </c>
      <c r="B120" s="277"/>
      <c r="C120" s="277"/>
      <c r="D120" s="15">
        <v>4</v>
      </c>
      <c r="E120" s="15">
        <v>4</v>
      </c>
      <c r="F120" s="142"/>
      <c r="G120" s="3">
        <f>2.6/100*4</f>
        <v>0.10400000000000001</v>
      </c>
      <c r="H120" s="3">
        <f>15/100*4</f>
        <v>0.6</v>
      </c>
      <c r="I120" s="3">
        <f>3.6/100*4</f>
        <v>0.14400000000000002</v>
      </c>
      <c r="J120" s="17">
        <f>160/100*4</f>
        <v>6.4</v>
      </c>
      <c r="K120" s="110"/>
      <c r="L120" s="3">
        <v>0</v>
      </c>
      <c r="M120" s="5"/>
    </row>
    <row r="121" spans="1:14" ht="15.75" thickBot="1">
      <c r="A121" s="277" t="s">
        <v>198</v>
      </c>
      <c r="B121" s="277"/>
      <c r="C121" s="277"/>
      <c r="D121" s="15">
        <v>20</v>
      </c>
      <c r="E121" s="15">
        <v>20</v>
      </c>
      <c r="F121" s="142"/>
      <c r="G121" s="3">
        <f>12.7/100*20</f>
        <v>2.54</v>
      </c>
      <c r="H121" s="3">
        <f>11.5/100*20</f>
        <v>2.3000000000000003</v>
      </c>
      <c r="I121" s="3">
        <f>0.7/100*20</f>
        <v>0.13999999999999999</v>
      </c>
      <c r="J121" s="17">
        <f>241/100*20</f>
        <v>48.2</v>
      </c>
      <c r="K121" s="18"/>
      <c r="L121" s="3">
        <v>0</v>
      </c>
      <c r="M121" s="5"/>
    </row>
    <row r="122" spans="1:14" ht="15.75" thickBot="1">
      <c r="F122" s="141"/>
    </row>
    <row r="123" spans="1:14" ht="15.75" thickBot="1">
      <c r="A123" s="278" t="s">
        <v>194</v>
      </c>
      <c r="B123" s="279"/>
      <c r="C123" s="279"/>
      <c r="D123" s="178"/>
      <c r="E123" s="21"/>
      <c r="F123" s="137">
        <v>250</v>
      </c>
      <c r="G123" s="3"/>
      <c r="H123" s="3"/>
      <c r="I123" s="3"/>
      <c r="J123" s="111"/>
      <c r="K123" s="112"/>
      <c r="L123" s="3"/>
      <c r="M123" s="5"/>
    </row>
    <row r="124" spans="1:14" ht="15.75" thickBot="1">
      <c r="A124" s="280" t="s">
        <v>223</v>
      </c>
      <c r="B124" s="281"/>
      <c r="C124" s="282"/>
      <c r="D124" s="15">
        <v>24</v>
      </c>
      <c r="E124" s="15">
        <v>24</v>
      </c>
      <c r="F124" s="142"/>
      <c r="G124" s="3">
        <v>3.64</v>
      </c>
      <c r="H124" s="3">
        <v>3.68</v>
      </c>
      <c r="I124" s="3">
        <v>0.14000000000000001</v>
      </c>
      <c r="J124" s="113">
        <v>48.2</v>
      </c>
      <c r="K124" s="112"/>
      <c r="L124" s="3">
        <v>0</v>
      </c>
      <c r="M124" s="5"/>
    </row>
    <row r="125" spans="1:14" ht="15.75" thickBot="1">
      <c r="A125" s="280" t="s">
        <v>240</v>
      </c>
      <c r="B125" s="281"/>
      <c r="C125" s="282"/>
      <c r="D125" s="15">
        <v>20</v>
      </c>
      <c r="E125" s="15">
        <v>20</v>
      </c>
      <c r="F125" s="142"/>
      <c r="G125" s="3">
        <v>2.08</v>
      </c>
      <c r="H125" s="3">
        <v>0.4</v>
      </c>
      <c r="I125" s="3">
        <v>11.84</v>
      </c>
      <c r="J125" s="113">
        <v>59.6</v>
      </c>
      <c r="K125" s="112"/>
      <c r="L125" s="3">
        <v>0</v>
      </c>
      <c r="M125" s="5"/>
    </row>
    <row r="126" spans="1:14" ht="15.75" thickBot="1">
      <c r="A126" s="280" t="s">
        <v>34</v>
      </c>
      <c r="B126" s="281"/>
      <c r="C126" s="282"/>
      <c r="D126" s="15">
        <v>7</v>
      </c>
      <c r="E126" s="15">
        <v>5</v>
      </c>
      <c r="F126" s="142"/>
      <c r="G126" s="3">
        <f>0.2/100*5</f>
        <v>0.01</v>
      </c>
      <c r="H126" s="3">
        <v>0</v>
      </c>
      <c r="I126" s="3">
        <f>10/100*5</f>
        <v>0.5</v>
      </c>
      <c r="J126" s="113">
        <f>42/100*5</f>
        <v>2.1</v>
      </c>
      <c r="K126" s="112"/>
      <c r="L126" s="3">
        <f>8.5/100*5</f>
        <v>0.42500000000000004</v>
      </c>
      <c r="M126" s="5"/>
      <c r="N126">
        <v>11</v>
      </c>
    </row>
    <row r="127" spans="1:14" ht="15.75" thickBot="1">
      <c r="A127" s="280" t="s">
        <v>35</v>
      </c>
      <c r="B127" s="281"/>
      <c r="C127" s="282"/>
      <c r="D127" s="15">
        <v>7</v>
      </c>
      <c r="E127" s="15">
        <v>5</v>
      </c>
      <c r="F127" s="142"/>
      <c r="G127" s="3">
        <f>1/100*5</f>
        <v>0.05</v>
      </c>
      <c r="H127" s="3">
        <v>0</v>
      </c>
      <c r="I127" s="3">
        <f>6.1/100*5</f>
        <v>0.30499999999999999</v>
      </c>
      <c r="J127" s="113">
        <f>29/100*5</f>
        <v>1.45</v>
      </c>
      <c r="K127" s="112"/>
      <c r="L127" s="3">
        <f>4/100*5</f>
        <v>0.2</v>
      </c>
      <c r="M127" s="5"/>
    </row>
    <row r="128" spans="1:14" ht="15.75" thickBot="1">
      <c r="A128" s="280" t="s">
        <v>23</v>
      </c>
      <c r="B128" s="281"/>
      <c r="C128" s="282"/>
      <c r="D128" s="15">
        <v>2</v>
      </c>
      <c r="E128" s="15">
        <v>2</v>
      </c>
      <c r="F128" s="142"/>
      <c r="G128" s="3">
        <f>0.4/100*2</f>
        <v>8.0000000000000002E-3</v>
      </c>
      <c r="H128" s="3">
        <f>78.5/100*2</f>
        <v>1.57</v>
      </c>
      <c r="I128" s="3">
        <f>0.5/100*2</f>
        <v>0.01</v>
      </c>
      <c r="J128" s="17">
        <f>734/100*2</f>
        <v>14.68</v>
      </c>
      <c r="K128" s="18"/>
      <c r="L128" s="3">
        <v>0</v>
      </c>
      <c r="M128" s="5"/>
    </row>
    <row r="129" spans="1:14" ht="15.75" thickBot="1">
      <c r="A129" s="145"/>
      <c r="B129" s="146" t="s">
        <v>37</v>
      </c>
      <c r="C129" s="150"/>
      <c r="D129" s="15">
        <v>4</v>
      </c>
      <c r="E129" s="15">
        <v>4</v>
      </c>
      <c r="F129" s="142"/>
      <c r="G129" s="3">
        <f>2.6/100*4</f>
        <v>0.10400000000000001</v>
      </c>
      <c r="H129" s="3">
        <f>15/100*4</f>
        <v>0.6</v>
      </c>
      <c r="I129" s="3">
        <f>3.6/100*4</f>
        <v>0.14400000000000002</v>
      </c>
      <c r="J129" s="155">
        <f>160/100*4</f>
        <v>6.4</v>
      </c>
      <c r="K129" s="151"/>
      <c r="L129" s="3">
        <v>0</v>
      </c>
      <c r="M129" s="5"/>
    </row>
    <row r="130" spans="1:14" ht="15.75" thickBot="1">
      <c r="A130" s="280" t="s">
        <v>36</v>
      </c>
      <c r="B130" s="281"/>
      <c r="C130" s="282"/>
      <c r="D130" s="15">
        <v>2</v>
      </c>
      <c r="E130" s="15">
        <v>2</v>
      </c>
      <c r="F130" s="142"/>
      <c r="G130" s="1">
        <v>0</v>
      </c>
      <c r="H130" s="1">
        <f>99.9/100*2</f>
        <v>1.9980000000000002</v>
      </c>
      <c r="I130" s="1">
        <v>0</v>
      </c>
      <c r="J130" s="17">
        <f>900/100*2</f>
        <v>18</v>
      </c>
      <c r="K130" s="18"/>
      <c r="L130" s="1">
        <v>0</v>
      </c>
      <c r="M130" s="5"/>
    </row>
    <row r="131" spans="1:14">
      <c r="F131" s="141"/>
    </row>
    <row r="132" spans="1:14" ht="15.75" thickBot="1">
      <c r="F132" s="141"/>
    </row>
    <row r="133" spans="1:14" ht="15.75" thickBot="1">
      <c r="A133" s="117" t="s">
        <v>195</v>
      </c>
      <c r="B133" s="106"/>
      <c r="C133" s="116"/>
      <c r="D133" s="176"/>
      <c r="E133" s="177"/>
      <c r="F133" s="137">
        <v>250</v>
      </c>
      <c r="G133" s="3"/>
      <c r="H133" s="3"/>
      <c r="I133" s="3"/>
      <c r="J133" s="111"/>
      <c r="K133" s="112"/>
      <c r="L133" s="3"/>
      <c r="M133" s="5"/>
    </row>
    <row r="134" spans="1:14" ht="15.75" thickBot="1">
      <c r="A134" s="280" t="s">
        <v>213</v>
      </c>
      <c r="B134" s="281"/>
      <c r="C134" s="282"/>
      <c r="D134" s="15">
        <v>60</v>
      </c>
      <c r="E134" s="15">
        <v>60</v>
      </c>
      <c r="F134" s="142"/>
      <c r="G134" s="3">
        <f>18.9/100*60</f>
        <v>11.339999999999998</v>
      </c>
      <c r="H134" s="3">
        <f>12.4/100*60</f>
        <v>7.4399999999999995</v>
      </c>
      <c r="I134" s="3">
        <v>0</v>
      </c>
      <c r="J134" s="109">
        <f>187/100*60</f>
        <v>112.2</v>
      </c>
      <c r="K134" s="18"/>
      <c r="L134" s="3">
        <v>0</v>
      </c>
      <c r="M134" s="5"/>
    </row>
    <row r="135" spans="1:14" ht="15.75" thickBot="1">
      <c r="A135" s="280" t="s">
        <v>23</v>
      </c>
      <c r="B135" s="281"/>
      <c r="C135" s="281"/>
      <c r="D135" s="15">
        <v>2</v>
      </c>
      <c r="E135" s="15">
        <v>2</v>
      </c>
      <c r="F135" s="142"/>
      <c r="G135" s="3">
        <f>0.4/100*2</f>
        <v>8.0000000000000002E-3</v>
      </c>
      <c r="H135" s="3">
        <f>78.5/100*2</f>
        <v>1.57</v>
      </c>
      <c r="I135" s="3">
        <f>0.5/100*2</f>
        <v>0.01</v>
      </c>
      <c r="J135" s="111">
        <f>734/100*2</f>
        <v>14.68</v>
      </c>
      <c r="K135" s="112"/>
      <c r="L135" s="3">
        <f>0.6/100*2</f>
        <v>1.2E-2</v>
      </c>
      <c r="M135" s="5"/>
    </row>
    <row r="136" spans="1:14" ht="15.75" thickBot="1">
      <c r="A136" s="277" t="s">
        <v>37</v>
      </c>
      <c r="B136" s="277"/>
      <c r="C136" s="277"/>
      <c r="D136" s="15">
        <v>8</v>
      </c>
      <c r="E136" s="15">
        <v>8</v>
      </c>
      <c r="F136" s="142"/>
      <c r="G136" s="3">
        <f>2.6/100*8</f>
        <v>0.20800000000000002</v>
      </c>
      <c r="H136" s="3">
        <f>15/100*8</f>
        <v>1.2</v>
      </c>
      <c r="I136" s="3">
        <f>3.6/100*8</f>
        <v>0.28800000000000003</v>
      </c>
      <c r="J136" s="109">
        <f>160/100*8</f>
        <v>12.8</v>
      </c>
      <c r="K136" s="18"/>
      <c r="L136" s="3">
        <v>0</v>
      </c>
      <c r="M136" s="5"/>
    </row>
    <row r="137" spans="1:14" ht="15.75" thickBot="1">
      <c r="A137" s="277" t="s">
        <v>33</v>
      </c>
      <c r="B137" s="277"/>
      <c r="C137" s="277"/>
      <c r="D137" s="15">
        <v>70</v>
      </c>
      <c r="E137" s="15">
        <v>50</v>
      </c>
      <c r="F137" s="142"/>
      <c r="G137" s="3">
        <f>1.2/100*50</f>
        <v>0.6</v>
      </c>
      <c r="H137" s="3">
        <v>0</v>
      </c>
      <c r="I137" s="3">
        <f>14/100*50</f>
        <v>7.0000000000000009</v>
      </c>
      <c r="J137" s="111">
        <f>62/100*50</f>
        <v>31</v>
      </c>
      <c r="K137" s="112"/>
      <c r="L137" s="3">
        <f>7.5/100*50</f>
        <v>3.75</v>
      </c>
      <c r="M137" s="5"/>
    </row>
    <row r="138" spans="1:14" ht="15.75" thickBot="1">
      <c r="A138" s="277" t="s">
        <v>34</v>
      </c>
      <c r="B138" s="277"/>
      <c r="C138" s="277"/>
      <c r="D138" s="15">
        <v>7</v>
      </c>
      <c r="E138" s="15">
        <v>5</v>
      </c>
      <c r="F138" s="142"/>
      <c r="G138" s="3">
        <f>0.2/100*5</f>
        <v>0.01</v>
      </c>
      <c r="H138" s="3">
        <v>0</v>
      </c>
      <c r="I138" s="3">
        <f>10/100*5</f>
        <v>0.5</v>
      </c>
      <c r="J138" s="111">
        <f>42/100*5</f>
        <v>2.1</v>
      </c>
      <c r="K138" s="112"/>
      <c r="L138" s="3">
        <f>8.5/100*5</f>
        <v>0.42500000000000004</v>
      </c>
      <c r="M138" s="5"/>
      <c r="N138">
        <v>12</v>
      </c>
    </row>
    <row r="139" spans="1:14" ht="15.75" thickBot="1">
      <c r="A139" s="277" t="s">
        <v>35</v>
      </c>
      <c r="B139" s="277"/>
      <c r="C139" s="277"/>
      <c r="D139" s="15">
        <v>7</v>
      </c>
      <c r="E139" s="15">
        <v>5</v>
      </c>
      <c r="F139" s="142"/>
      <c r="G139" s="3">
        <f>1/100*5</f>
        <v>0.05</v>
      </c>
      <c r="H139" s="3">
        <v>0</v>
      </c>
      <c r="I139" s="3">
        <f>6.1/100*5</f>
        <v>0.30499999999999999</v>
      </c>
      <c r="J139" s="111">
        <f>29/100*5</f>
        <v>1.45</v>
      </c>
      <c r="K139" s="112"/>
      <c r="L139" s="3">
        <f>4/100*5</f>
        <v>0.2</v>
      </c>
      <c r="M139" s="5"/>
    </row>
    <row r="140" spans="1:14" ht="15.75" thickBot="1">
      <c r="A140" s="280" t="s">
        <v>23</v>
      </c>
      <c r="B140" s="281"/>
      <c r="C140" s="281"/>
      <c r="D140" s="15">
        <v>2</v>
      </c>
      <c r="E140" s="15">
        <v>2</v>
      </c>
      <c r="F140" s="142"/>
      <c r="G140" s="3">
        <f>0.4/100*2</f>
        <v>8.0000000000000002E-3</v>
      </c>
      <c r="H140" s="3">
        <f>78.5/100*2</f>
        <v>1.57</v>
      </c>
      <c r="I140" s="3">
        <f>0.5/100*2</f>
        <v>0.01</v>
      </c>
      <c r="J140" s="111">
        <f>734/100*2</f>
        <v>14.68</v>
      </c>
      <c r="K140" s="112"/>
      <c r="L140" s="3">
        <f>0.6/100*2</f>
        <v>1.2E-2</v>
      </c>
      <c r="M140" s="5"/>
    </row>
    <row r="141" spans="1:14" ht="15.75" thickBot="1">
      <c r="A141" s="280" t="s">
        <v>241</v>
      </c>
      <c r="B141" s="281"/>
      <c r="C141" s="282"/>
      <c r="D141" s="15">
        <v>50</v>
      </c>
      <c r="E141" s="15">
        <v>50</v>
      </c>
      <c r="F141" s="142"/>
      <c r="G141" s="3">
        <f>9.3/100*50</f>
        <v>4.6500000000000004</v>
      </c>
      <c r="H141" s="3">
        <f>1/100*50</f>
        <v>0.5</v>
      </c>
      <c r="I141" s="3">
        <f>69.7/100*50</f>
        <v>34.85</v>
      </c>
      <c r="J141" s="111">
        <f>317/100*50</f>
        <v>158.5</v>
      </c>
      <c r="K141" s="112"/>
      <c r="L141" s="3">
        <v>0</v>
      </c>
      <c r="M141" s="5"/>
    </row>
    <row r="142" spans="1:14" ht="15.75" thickBot="1">
      <c r="A142" s="280" t="s">
        <v>198</v>
      </c>
      <c r="B142" s="281"/>
      <c r="C142" s="282"/>
      <c r="D142" s="15">
        <v>5</v>
      </c>
      <c r="E142" s="15">
        <v>5</v>
      </c>
      <c r="F142" s="142"/>
      <c r="G142" s="3">
        <f>12.7/100*5</f>
        <v>0.63500000000000001</v>
      </c>
      <c r="H142" s="3">
        <f>11.5/100*5</f>
        <v>0.57500000000000007</v>
      </c>
      <c r="I142" s="3">
        <f>0.7/100*5</f>
        <v>3.4999999999999996E-2</v>
      </c>
      <c r="J142" s="109">
        <f>241/100*5</f>
        <v>12.05</v>
      </c>
      <c r="K142" s="110"/>
      <c r="L142" s="3">
        <v>0</v>
      </c>
      <c r="M142" s="5"/>
    </row>
    <row r="143" spans="1:14" ht="15.75" thickBot="1">
      <c r="F143" s="141"/>
    </row>
    <row r="144" spans="1:14" ht="15.75" thickBot="1">
      <c r="A144" s="12" t="s">
        <v>242</v>
      </c>
      <c r="B144" s="13"/>
      <c r="C144" s="13"/>
      <c r="D144" s="154"/>
      <c r="E144" s="21"/>
      <c r="F144" s="137">
        <v>250</v>
      </c>
      <c r="G144" s="3"/>
      <c r="H144" s="3"/>
      <c r="I144" s="3"/>
      <c r="J144" s="111"/>
      <c r="K144" s="112"/>
      <c r="L144" s="3"/>
      <c r="M144" s="5"/>
    </row>
    <row r="145" spans="1:14" ht="15.75" thickBot="1">
      <c r="A145" s="280" t="s">
        <v>208</v>
      </c>
      <c r="B145" s="281"/>
      <c r="C145" s="282"/>
      <c r="D145" s="15">
        <v>10</v>
      </c>
      <c r="E145" s="15">
        <v>10</v>
      </c>
      <c r="F145" s="142"/>
      <c r="G145" s="3">
        <f>9.3/100*10</f>
        <v>0.93000000000000016</v>
      </c>
      <c r="H145" s="3">
        <f>1.1/100*10</f>
        <v>0.11000000000000001</v>
      </c>
      <c r="I145" s="3">
        <f>68/100*10</f>
        <v>6.8000000000000007</v>
      </c>
      <c r="J145" s="109">
        <f>320/100*10</f>
        <v>32</v>
      </c>
      <c r="K145" s="18"/>
      <c r="L145" s="3">
        <v>0</v>
      </c>
      <c r="M145" s="5"/>
    </row>
    <row r="146" spans="1:14" ht="15.75" thickBot="1">
      <c r="A146" s="277" t="s">
        <v>28</v>
      </c>
      <c r="B146" s="277"/>
      <c r="C146" s="277"/>
      <c r="D146" s="15">
        <v>20</v>
      </c>
      <c r="E146" s="15">
        <v>20</v>
      </c>
      <c r="F146" s="142"/>
      <c r="G146" s="3">
        <f>18.9/100*20</f>
        <v>3.7799999999999994</v>
      </c>
      <c r="H146" s="3">
        <f>12.4/100*20</f>
        <v>2.48</v>
      </c>
      <c r="I146" s="3">
        <v>0</v>
      </c>
      <c r="J146" s="109">
        <f>187/100*20</f>
        <v>37.400000000000006</v>
      </c>
      <c r="K146" s="18"/>
      <c r="L146" s="3">
        <v>0</v>
      </c>
      <c r="M146" s="5"/>
    </row>
    <row r="147" spans="1:14" ht="15.75" thickBot="1">
      <c r="A147" s="277" t="s">
        <v>33</v>
      </c>
      <c r="B147" s="277"/>
      <c r="C147" s="277"/>
      <c r="D147" s="15">
        <v>111.6</v>
      </c>
      <c r="E147" s="15">
        <v>83.3</v>
      </c>
      <c r="F147" s="142"/>
      <c r="G147" s="3">
        <f>1.2/100*83.3</f>
        <v>0.99959999999999993</v>
      </c>
      <c r="H147" s="3">
        <v>0</v>
      </c>
      <c r="I147" s="3">
        <f>14/100*83.3</f>
        <v>11.662000000000001</v>
      </c>
      <c r="J147" s="111">
        <f>62/100*83.3</f>
        <v>51.646000000000001</v>
      </c>
      <c r="K147" s="112"/>
      <c r="L147" s="3">
        <f>7.5/100*83.3</f>
        <v>6.2474999999999996</v>
      </c>
      <c r="M147" s="5"/>
    </row>
    <row r="148" spans="1:14" ht="15.75" thickBot="1">
      <c r="A148" s="277" t="s">
        <v>34</v>
      </c>
      <c r="B148" s="277"/>
      <c r="C148" s="277"/>
      <c r="D148" s="15">
        <v>7</v>
      </c>
      <c r="E148" s="15">
        <v>5</v>
      </c>
      <c r="F148" s="142"/>
      <c r="G148" s="3">
        <f>0.2/100*5</f>
        <v>0.01</v>
      </c>
      <c r="H148" s="3">
        <v>0</v>
      </c>
      <c r="I148" s="3">
        <f>10/100*5</f>
        <v>0.5</v>
      </c>
      <c r="J148" s="111">
        <f>42/100*5</f>
        <v>2.1</v>
      </c>
      <c r="K148" s="112"/>
      <c r="L148" s="3">
        <f>8.5/100*5</f>
        <v>0.42500000000000004</v>
      </c>
      <c r="M148" s="5"/>
      <c r="N148">
        <v>13</v>
      </c>
    </row>
    <row r="149" spans="1:14" ht="15.75" thickBot="1">
      <c r="A149" s="277" t="s">
        <v>35</v>
      </c>
      <c r="B149" s="277"/>
      <c r="C149" s="277"/>
      <c r="D149" s="15">
        <v>7</v>
      </c>
      <c r="E149" s="15">
        <v>5</v>
      </c>
      <c r="F149" s="142"/>
      <c r="G149" s="3">
        <f>1/100*5</f>
        <v>0.05</v>
      </c>
      <c r="H149" s="3">
        <v>0</v>
      </c>
      <c r="I149" s="3">
        <f>6.1/100*5</f>
        <v>0.30499999999999999</v>
      </c>
      <c r="J149" s="111">
        <f>29/100*5</f>
        <v>1.45</v>
      </c>
      <c r="K149" s="112"/>
      <c r="L149" s="3">
        <f>4/100*5</f>
        <v>0.2</v>
      </c>
      <c r="M149" s="5"/>
    </row>
    <row r="150" spans="1:14" ht="15.75" thickBot="1">
      <c r="A150" s="280" t="s">
        <v>23</v>
      </c>
      <c r="B150" s="281"/>
      <c r="C150" s="281"/>
      <c r="D150" s="15">
        <v>2</v>
      </c>
      <c r="E150" s="15">
        <v>2</v>
      </c>
      <c r="F150" s="142"/>
      <c r="G150" s="3">
        <f>0.4/100*2</f>
        <v>8.0000000000000002E-3</v>
      </c>
      <c r="H150" s="3">
        <f>78.5/100*2</f>
        <v>1.57</v>
      </c>
      <c r="I150" s="3">
        <f>0.5/100*2</f>
        <v>0.01</v>
      </c>
      <c r="J150" s="111">
        <f>734/100*2</f>
        <v>14.68</v>
      </c>
      <c r="K150" s="112"/>
      <c r="L150" s="3">
        <f>0.6/100*2</f>
        <v>1.2E-2</v>
      </c>
      <c r="M150" s="5"/>
    </row>
    <row r="151" spans="1:14" ht="15.75" thickBot="1">
      <c r="A151" s="277" t="s">
        <v>36</v>
      </c>
      <c r="B151" s="277"/>
      <c r="C151" s="277"/>
      <c r="D151" s="15">
        <v>2</v>
      </c>
      <c r="E151" s="15">
        <v>2</v>
      </c>
      <c r="F151" s="142"/>
      <c r="G151" s="3">
        <v>0</v>
      </c>
      <c r="H151" s="3">
        <f>99.9/100*2</f>
        <v>1.9980000000000002</v>
      </c>
      <c r="I151" s="3">
        <v>0</v>
      </c>
      <c r="J151" s="111">
        <f>900/100*2</f>
        <v>18</v>
      </c>
      <c r="K151" s="112"/>
      <c r="L151" s="3">
        <v>0</v>
      </c>
      <c r="M151" s="5"/>
    </row>
    <row r="152" spans="1:14" ht="15.75" thickBot="1">
      <c r="A152" s="277" t="s">
        <v>37</v>
      </c>
      <c r="B152" s="277"/>
      <c r="C152" s="277"/>
      <c r="D152" s="15">
        <v>8</v>
      </c>
      <c r="E152" s="15">
        <v>8</v>
      </c>
      <c r="F152" s="142"/>
      <c r="G152" s="3">
        <f>2.6/100*8</f>
        <v>0.20800000000000002</v>
      </c>
      <c r="H152" s="3">
        <f>15/100*8</f>
        <v>1.2</v>
      </c>
      <c r="I152" s="3">
        <f>3.6/100*8</f>
        <v>0.28800000000000003</v>
      </c>
      <c r="J152" s="109">
        <f>160/100*8</f>
        <v>12.8</v>
      </c>
      <c r="K152" s="18"/>
      <c r="L152" s="3">
        <v>0</v>
      </c>
      <c r="M152" s="5"/>
    </row>
    <row r="153" spans="1:14" ht="15.75" thickBot="1">
      <c r="A153" s="145"/>
      <c r="B153" s="146" t="s">
        <v>243</v>
      </c>
      <c r="C153" s="150"/>
      <c r="D153" s="15">
        <v>15</v>
      </c>
      <c r="E153" s="15">
        <v>15</v>
      </c>
      <c r="F153" s="142"/>
      <c r="G153" s="3">
        <v>0.09</v>
      </c>
      <c r="H153" s="3">
        <f>18.4/100*15</f>
        <v>2.76</v>
      </c>
      <c r="I153" s="3">
        <v>0.17</v>
      </c>
      <c r="J153" s="148">
        <v>1.05</v>
      </c>
      <c r="K153" s="149"/>
      <c r="L153" s="3">
        <v>0</v>
      </c>
      <c r="M153" s="5"/>
    </row>
    <row r="154" spans="1:14" ht="15.75" thickBot="1">
      <c r="A154" s="280" t="s">
        <v>236</v>
      </c>
      <c r="B154" s="283"/>
      <c r="C154" s="284"/>
      <c r="D154" s="15">
        <v>3</v>
      </c>
      <c r="E154" s="15">
        <v>3</v>
      </c>
      <c r="F154" s="142"/>
      <c r="G154" s="3">
        <f>2.2/100*3</f>
        <v>6.6000000000000003E-2</v>
      </c>
      <c r="H154" s="3">
        <v>0</v>
      </c>
      <c r="I154" s="3">
        <f>15.8/100*3</f>
        <v>0.47399999999999998</v>
      </c>
      <c r="J154" s="109">
        <f>63.2/100*3</f>
        <v>1.8959999999999999</v>
      </c>
      <c r="K154" s="110"/>
      <c r="L154" s="3">
        <f>26/100*3</f>
        <v>0.78</v>
      </c>
      <c r="M154" s="5"/>
    </row>
    <row r="155" spans="1:14" ht="15.75" thickBot="1">
      <c r="F155" s="144"/>
    </row>
    <row r="156" spans="1:14" ht="15.75" thickBot="1">
      <c r="A156" s="278" t="s">
        <v>196</v>
      </c>
      <c r="B156" s="279"/>
      <c r="C156" s="279"/>
      <c r="D156" s="279"/>
      <c r="E156" s="298"/>
      <c r="F156" s="137">
        <v>250</v>
      </c>
      <c r="G156" s="3"/>
      <c r="H156" s="3"/>
      <c r="I156" s="3"/>
      <c r="J156" s="287"/>
      <c r="K156" s="288"/>
      <c r="L156" s="3"/>
      <c r="M156" s="5"/>
    </row>
    <row r="157" spans="1:14" ht="15.75" thickBot="1">
      <c r="A157" s="277" t="s">
        <v>28</v>
      </c>
      <c r="B157" s="277"/>
      <c r="C157" s="277"/>
      <c r="D157" s="15">
        <v>20</v>
      </c>
      <c r="E157" s="15">
        <v>20</v>
      </c>
      <c r="F157" s="142"/>
      <c r="G157" s="3">
        <f>18.9/100*20</f>
        <v>3.7799999999999994</v>
      </c>
      <c r="H157" s="3">
        <f>12.4/100*20</f>
        <v>2.48</v>
      </c>
      <c r="I157" s="3">
        <v>0</v>
      </c>
      <c r="J157" s="109">
        <f>187/100*20</f>
        <v>37.400000000000006</v>
      </c>
      <c r="K157" s="110"/>
      <c r="L157" s="3">
        <v>0</v>
      </c>
      <c r="M157" s="5"/>
    </row>
    <row r="158" spans="1:14" ht="15.75" thickBot="1">
      <c r="A158" s="277" t="s">
        <v>33</v>
      </c>
      <c r="B158" s="277"/>
      <c r="C158" s="277"/>
      <c r="D158" s="15">
        <v>130</v>
      </c>
      <c r="E158" s="15">
        <v>107.5</v>
      </c>
      <c r="F158" s="142"/>
      <c r="G158" s="3">
        <f>1.2/100*107.5</f>
        <v>1.29</v>
      </c>
      <c r="H158" s="3">
        <v>0</v>
      </c>
      <c r="I158" s="3">
        <f>14/100*107.5</f>
        <v>15.05</v>
      </c>
      <c r="J158" s="111">
        <f>62/100*107.5</f>
        <v>66.650000000000006</v>
      </c>
      <c r="K158" s="112"/>
      <c r="L158" s="3">
        <f>7.5/100*107.5</f>
        <v>8.0625</v>
      </c>
      <c r="M158" s="5"/>
    </row>
    <row r="159" spans="1:14" ht="15.75" thickBot="1">
      <c r="A159" s="277" t="s">
        <v>34</v>
      </c>
      <c r="B159" s="277"/>
      <c r="C159" s="277"/>
      <c r="D159" s="15">
        <v>7</v>
      </c>
      <c r="E159" s="15">
        <v>5</v>
      </c>
      <c r="F159" s="142"/>
      <c r="G159" s="3">
        <f>0.2/100*5</f>
        <v>0.01</v>
      </c>
      <c r="H159" s="3">
        <v>0</v>
      </c>
      <c r="I159" s="3">
        <f>10/100*5</f>
        <v>0.5</v>
      </c>
      <c r="J159" s="111">
        <f>42/100*5</f>
        <v>2.1</v>
      </c>
      <c r="K159" s="112"/>
      <c r="L159" s="3">
        <f>8.5/100*5</f>
        <v>0.42500000000000004</v>
      </c>
      <c r="M159" s="5"/>
      <c r="N159">
        <v>15</v>
      </c>
    </row>
    <row r="160" spans="1:14" ht="15.75" thickBot="1">
      <c r="A160" s="277" t="s">
        <v>35</v>
      </c>
      <c r="B160" s="277"/>
      <c r="C160" s="277"/>
      <c r="D160" s="15">
        <v>7</v>
      </c>
      <c r="E160" s="15">
        <v>5</v>
      </c>
      <c r="F160" s="142"/>
      <c r="G160" s="3">
        <f>1/100*5</f>
        <v>0.05</v>
      </c>
      <c r="H160" s="3">
        <v>0</v>
      </c>
      <c r="I160" s="3">
        <f>6.1/100*5</f>
        <v>0.30499999999999999</v>
      </c>
      <c r="J160" s="111">
        <f>29/100*5</f>
        <v>1.45</v>
      </c>
      <c r="K160" s="112"/>
      <c r="L160" s="3">
        <f>4/100*5</f>
        <v>0.2</v>
      </c>
      <c r="M160" s="5"/>
    </row>
    <row r="161" spans="1:14" ht="15.75" thickBot="1">
      <c r="A161" s="280" t="s">
        <v>23</v>
      </c>
      <c r="B161" s="281"/>
      <c r="C161" s="281"/>
      <c r="D161" s="15">
        <v>2</v>
      </c>
      <c r="E161" s="15">
        <v>2</v>
      </c>
      <c r="F161" s="142"/>
      <c r="G161" s="3">
        <f>0.4/100*2</f>
        <v>8.0000000000000002E-3</v>
      </c>
      <c r="H161" s="3">
        <f>78.5/100*2</f>
        <v>1.57</v>
      </c>
      <c r="I161" s="3">
        <f>0.5/100*2</f>
        <v>0.01</v>
      </c>
      <c r="J161" s="111">
        <f>734/100*2</f>
        <v>14.68</v>
      </c>
      <c r="K161" s="112"/>
      <c r="L161" s="3">
        <f>0.6/100*2</f>
        <v>1.2E-2</v>
      </c>
      <c r="M161" s="5"/>
    </row>
    <row r="162" spans="1:14" ht="15.75" thickBot="1">
      <c r="A162" s="277" t="s">
        <v>36</v>
      </c>
      <c r="B162" s="277"/>
      <c r="C162" s="277"/>
      <c r="D162" s="15">
        <v>2</v>
      </c>
      <c r="E162" s="15">
        <v>2</v>
      </c>
      <c r="F162" s="142"/>
      <c r="G162" s="3">
        <v>0</v>
      </c>
      <c r="H162" s="3">
        <f>99.9/100*2</f>
        <v>1.9980000000000002</v>
      </c>
      <c r="I162" s="3">
        <v>0</v>
      </c>
      <c r="J162" s="111">
        <f>900/100*2</f>
        <v>18</v>
      </c>
      <c r="K162" s="112"/>
      <c r="L162" s="3">
        <v>0</v>
      </c>
      <c r="M162" s="5"/>
    </row>
    <row r="163" spans="1:14" ht="15.75" thickBot="1">
      <c r="A163" s="277" t="s">
        <v>37</v>
      </c>
      <c r="B163" s="277"/>
      <c r="C163" s="277"/>
      <c r="D163" s="15">
        <v>8</v>
      </c>
      <c r="E163" s="15">
        <v>8</v>
      </c>
      <c r="F163" s="142"/>
      <c r="G163" s="3">
        <f>2.6/100*8</f>
        <v>0.20800000000000002</v>
      </c>
      <c r="H163" s="3">
        <f>15/100*8</f>
        <v>1.2</v>
      </c>
      <c r="I163" s="3">
        <f>3.6/100*8</f>
        <v>0.28800000000000003</v>
      </c>
      <c r="J163" s="109">
        <f>160/100*8</f>
        <v>12.8</v>
      </c>
      <c r="K163" s="110"/>
      <c r="L163" s="3">
        <v>0</v>
      </c>
      <c r="M163" s="5"/>
    </row>
    <row r="164" spans="1:14" ht="15.75" thickBot="1">
      <c r="A164" s="277" t="s">
        <v>50</v>
      </c>
      <c r="B164" s="277"/>
      <c r="C164" s="277"/>
      <c r="D164" s="15">
        <v>10</v>
      </c>
      <c r="E164" s="15">
        <v>10</v>
      </c>
      <c r="F164" s="142"/>
      <c r="G164" s="3">
        <f>12.7/100*10</f>
        <v>1.27</v>
      </c>
      <c r="H164" s="3">
        <f>11.5/100*10</f>
        <v>1.1500000000000001</v>
      </c>
      <c r="I164" s="3">
        <f>0.7/100*10</f>
        <v>6.9999999999999993E-2</v>
      </c>
      <c r="J164" s="109">
        <f>241/100*10</f>
        <v>24.1</v>
      </c>
      <c r="K164" s="110"/>
      <c r="L164" s="3">
        <v>0</v>
      </c>
      <c r="M164" s="5"/>
    </row>
    <row r="165" spans="1:14" ht="15.75" thickBot="1">
      <c r="F165" s="141"/>
    </row>
    <row r="166" spans="1:14" ht="15.75" thickBot="1">
      <c r="A166" s="278" t="s">
        <v>197</v>
      </c>
      <c r="B166" s="279"/>
      <c r="C166" s="279"/>
      <c r="D166" s="279"/>
      <c r="E166" s="298"/>
      <c r="F166" s="137">
        <v>250</v>
      </c>
      <c r="G166" s="3"/>
      <c r="H166" s="3"/>
      <c r="I166" s="3"/>
      <c r="J166" s="287"/>
      <c r="K166" s="288"/>
      <c r="L166" s="3"/>
      <c r="M166" s="5"/>
    </row>
    <row r="167" spans="1:14" ht="15.75" thickBot="1">
      <c r="A167" s="280" t="s">
        <v>103</v>
      </c>
      <c r="B167" s="281"/>
      <c r="C167" s="282"/>
      <c r="D167" s="15">
        <v>7</v>
      </c>
      <c r="E167" s="15">
        <v>7</v>
      </c>
      <c r="F167" s="142"/>
      <c r="G167" s="3">
        <f>9.3/100*7</f>
        <v>0.65100000000000013</v>
      </c>
      <c r="H167" s="3">
        <f>1.1/100*7</f>
        <v>7.7000000000000013E-2</v>
      </c>
      <c r="I167" s="3">
        <f>63/100*7</f>
        <v>4.41</v>
      </c>
      <c r="J167" s="17">
        <f>320/100*7</f>
        <v>22.400000000000002</v>
      </c>
      <c r="K167" s="18"/>
      <c r="L167" s="3">
        <v>0</v>
      </c>
      <c r="M167" s="5"/>
    </row>
    <row r="168" spans="1:14" ht="15.75" thickBot="1">
      <c r="A168" s="277" t="s">
        <v>28</v>
      </c>
      <c r="B168" s="277"/>
      <c r="C168" s="277"/>
      <c r="D168" s="15">
        <v>20</v>
      </c>
      <c r="E168" s="15">
        <v>20</v>
      </c>
      <c r="F168" s="142"/>
      <c r="G168" s="3">
        <f>18.9/100*20</f>
        <v>3.7799999999999994</v>
      </c>
      <c r="H168" s="3">
        <f>12.4/100*20</f>
        <v>2.48</v>
      </c>
      <c r="I168" s="3">
        <v>0</v>
      </c>
      <c r="J168" s="17">
        <f>187/100*20</f>
        <v>37.400000000000006</v>
      </c>
      <c r="K168" s="18"/>
      <c r="L168" s="3">
        <v>0</v>
      </c>
      <c r="M168" s="5"/>
    </row>
    <row r="169" spans="1:14" ht="15.75" thickBot="1">
      <c r="A169" s="277" t="s">
        <v>33</v>
      </c>
      <c r="B169" s="277"/>
      <c r="C169" s="277"/>
      <c r="D169" s="15">
        <v>130</v>
      </c>
      <c r="E169" s="15">
        <v>107.5</v>
      </c>
      <c r="F169" s="142"/>
      <c r="G169" s="3">
        <f>1.2/100*107.5</f>
        <v>1.29</v>
      </c>
      <c r="H169" s="3">
        <v>0</v>
      </c>
      <c r="I169" s="3">
        <f>14/100*107.5</f>
        <v>15.05</v>
      </c>
      <c r="J169" s="130">
        <f>62/100*107.5</f>
        <v>66.650000000000006</v>
      </c>
      <c r="K169" s="112"/>
      <c r="L169" s="3">
        <f>7.5/100*107.5</f>
        <v>8.0625</v>
      </c>
      <c r="M169" s="5"/>
    </row>
    <row r="170" spans="1:14" ht="15.75" thickBot="1">
      <c r="A170" s="277" t="s">
        <v>34</v>
      </c>
      <c r="B170" s="277"/>
      <c r="C170" s="277"/>
      <c r="D170" s="15">
        <v>7</v>
      </c>
      <c r="E170" s="15">
        <v>5</v>
      </c>
      <c r="F170" s="142"/>
      <c r="G170" s="3">
        <f>0.2/100*5</f>
        <v>0.01</v>
      </c>
      <c r="H170" s="3">
        <v>0</v>
      </c>
      <c r="I170" s="3">
        <f>10/100*5</f>
        <v>0.5</v>
      </c>
      <c r="J170" s="130">
        <f>42/100*5</f>
        <v>2.1</v>
      </c>
      <c r="K170" s="112"/>
      <c r="L170" s="3">
        <f>8.5/100*5</f>
        <v>0.42500000000000004</v>
      </c>
      <c r="M170" s="5"/>
      <c r="N170">
        <v>16</v>
      </c>
    </row>
    <row r="171" spans="1:14" ht="15.75" thickBot="1">
      <c r="A171" s="277" t="s">
        <v>35</v>
      </c>
      <c r="B171" s="277"/>
      <c r="C171" s="277"/>
      <c r="D171" s="15">
        <v>7</v>
      </c>
      <c r="E171" s="15">
        <v>5</v>
      </c>
      <c r="F171" s="142"/>
      <c r="G171" s="3">
        <f>1/100*5</f>
        <v>0.05</v>
      </c>
      <c r="H171" s="3">
        <v>0</v>
      </c>
      <c r="I171" s="3">
        <f>6.1/100*5</f>
        <v>0.30499999999999999</v>
      </c>
      <c r="J171" s="130">
        <f>29/100*5</f>
        <v>1.45</v>
      </c>
      <c r="K171" s="112"/>
      <c r="L171" s="3">
        <f>4/100*5</f>
        <v>0.2</v>
      </c>
      <c r="M171" s="5"/>
    </row>
    <row r="172" spans="1:14" ht="15.75" thickBot="1">
      <c r="A172" s="280" t="s">
        <v>23</v>
      </c>
      <c r="B172" s="281"/>
      <c r="C172" s="281"/>
      <c r="D172" s="15">
        <v>2</v>
      </c>
      <c r="E172" s="15">
        <v>2</v>
      </c>
      <c r="F172" s="142"/>
      <c r="G172" s="3">
        <f>0.4/100*2</f>
        <v>8.0000000000000002E-3</v>
      </c>
      <c r="H172" s="3">
        <f>78.5/100*2</f>
        <v>1.57</v>
      </c>
      <c r="I172" s="3">
        <f>0.5/100*2</f>
        <v>0.01</v>
      </c>
      <c r="J172" s="130">
        <f>734/100*2</f>
        <v>14.68</v>
      </c>
      <c r="K172" s="112"/>
      <c r="L172" s="3">
        <f>0.6/100*2</f>
        <v>1.2E-2</v>
      </c>
      <c r="M172" s="5"/>
    </row>
    <row r="173" spans="1:14" ht="15.75" thickBot="1">
      <c r="A173" s="277" t="s">
        <v>36</v>
      </c>
      <c r="B173" s="277"/>
      <c r="C173" s="277"/>
      <c r="D173" s="15">
        <v>2</v>
      </c>
      <c r="E173" s="15">
        <v>2</v>
      </c>
      <c r="F173" s="142"/>
      <c r="G173" s="3">
        <v>0</v>
      </c>
      <c r="H173" s="3">
        <f>99.9/100*2</f>
        <v>1.9980000000000002</v>
      </c>
      <c r="I173" s="3">
        <v>0</v>
      </c>
      <c r="J173" s="130">
        <f>900/100*2</f>
        <v>18</v>
      </c>
      <c r="K173" s="112"/>
      <c r="L173" s="3">
        <v>0</v>
      </c>
      <c r="M173" s="5"/>
    </row>
    <row r="174" spans="1:14" ht="15.75" thickBot="1">
      <c r="A174" s="277" t="s">
        <v>37</v>
      </c>
      <c r="B174" s="277"/>
      <c r="C174" s="277"/>
      <c r="D174" s="15">
        <v>8</v>
      </c>
      <c r="E174" s="15">
        <v>8</v>
      </c>
      <c r="F174" s="142"/>
      <c r="G174" s="3">
        <f>2.6/100*8</f>
        <v>0.20800000000000002</v>
      </c>
      <c r="H174" s="3">
        <f>15/100*8</f>
        <v>1.2</v>
      </c>
      <c r="I174" s="3">
        <f>3.6/100*8</f>
        <v>0.28800000000000003</v>
      </c>
      <c r="J174" s="17">
        <f>160/100*8</f>
        <v>12.8</v>
      </c>
      <c r="K174" s="18"/>
      <c r="L174" s="3">
        <v>0</v>
      </c>
      <c r="M174" s="5"/>
    </row>
    <row r="175" spans="1:14" ht="15.75" thickBot="1">
      <c r="F175" s="141"/>
      <c r="J175" s="136"/>
    </row>
    <row r="176" spans="1:14" ht="15.75" thickBot="1">
      <c r="A176" s="278" t="s">
        <v>105</v>
      </c>
      <c r="B176" s="279"/>
      <c r="C176" s="279"/>
      <c r="D176" s="178"/>
      <c r="E176" s="21"/>
      <c r="F176" s="137">
        <v>250</v>
      </c>
      <c r="G176" s="3"/>
      <c r="H176" s="3"/>
      <c r="I176" s="3"/>
      <c r="J176" s="17"/>
      <c r="K176" s="18"/>
      <c r="L176" s="3"/>
      <c r="M176" s="5"/>
    </row>
    <row r="177" spans="1:14" ht="15.75" thickBot="1">
      <c r="A177" s="280" t="s">
        <v>91</v>
      </c>
      <c r="B177" s="281"/>
      <c r="C177" s="282"/>
      <c r="D177" s="15">
        <v>100</v>
      </c>
      <c r="E177" s="15">
        <v>100</v>
      </c>
      <c r="F177" s="142"/>
      <c r="G177" s="3">
        <f>18.9/100*100</f>
        <v>18.899999999999999</v>
      </c>
      <c r="H177" s="3">
        <f>12.4/100*100</f>
        <v>12.4</v>
      </c>
      <c r="I177" s="3">
        <v>0</v>
      </c>
      <c r="J177" s="17">
        <f>187/100*100</f>
        <v>187</v>
      </c>
      <c r="K177" s="18"/>
      <c r="L177" s="3">
        <v>0</v>
      </c>
      <c r="M177" s="5"/>
    </row>
    <row r="178" spans="1:14" ht="15.75" thickBot="1">
      <c r="A178" s="280" t="s">
        <v>51</v>
      </c>
      <c r="B178" s="281"/>
      <c r="C178" s="282"/>
      <c r="D178" s="15">
        <v>100</v>
      </c>
      <c r="E178" s="15">
        <v>100</v>
      </c>
      <c r="F178" s="142"/>
      <c r="G178" s="3">
        <f>9.3/100*100</f>
        <v>9.3000000000000007</v>
      </c>
      <c r="H178" s="3">
        <f>1/100*100</f>
        <v>1</v>
      </c>
      <c r="I178" s="3">
        <f>69.7/100*100</f>
        <v>69.7</v>
      </c>
      <c r="J178" s="130">
        <f>317/100*100</f>
        <v>317</v>
      </c>
      <c r="K178" s="112"/>
      <c r="L178" s="3">
        <v>0</v>
      </c>
      <c r="M178" s="5"/>
    </row>
    <row r="179" spans="1:14" ht="15.75" thickBot="1">
      <c r="A179" s="280" t="s">
        <v>50</v>
      </c>
      <c r="B179" s="281"/>
      <c r="C179" s="282"/>
      <c r="D179" s="15">
        <v>10</v>
      </c>
      <c r="E179" s="15">
        <v>10</v>
      </c>
      <c r="F179" s="142"/>
      <c r="G179" s="3">
        <f>12.7/100*10</f>
        <v>1.27</v>
      </c>
      <c r="H179" s="3">
        <f>11.5/100*10</f>
        <v>1.1500000000000001</v>
      </c>
      <c r="I179" s="3">
        <f>0.7/100*10</f>
        <v>6.9999999999999993E-2</v>
      </c>
      <c r="J179" s="130">
        <f>241/100*10</f>
        <v>24.1</v>
      </c>
      <c r="K179" s="112"/>
      <c r="L179" s="3">
        <v>0</v>
      </c>
      <c r="M179" s="5"/>
      <c r="N179">
        <v>17</v>
      </c>
    </row>
    <row r="180" spans="1:14" ht="15.75" thickBot="1">
      <c r="A180" s="277" t="s">
        <v>54</v>
      </c>
      <c r="B180" s="277"/>
      <c r="C180" s="277"/>
      <c r="D180" s="15">
        <v>12</v>
      </c>
      <c r="E180" s="15">
        <v>10</v>
      </c>
      <c r="F180" s="142"/>
      <c r="G180" s="3">
        <f>0.2/100*10</f>
        <v>0.02</v>
      </c>
      <c r="H180" s="3">
        <v>0</v>
      </c>
      <c r="I180" s="3">
        <f>10/100*10</f>
        <v>1</v>
      </c>
      <c r="J180" s="130">
        <f>42/100*10</f>
        <v>4.2</v>
      </c>
      <c r="K180" s="112"/>
      <c r="L180" s="3">
        <f>8.5/100*10</f>
        <v>0.85000000000000009</v>
      </c>
      <c r="M180" s="5"/>
    </row>
    <row r="181" spans="1:14" ht="15.75" thickBot="1">
      <c r="A181" s="277" t="s">
        <v>39</v>
      </c>
      <c r="B181" s="277"/>
      <c r="C181" s="277"/>
      <c r="D181" s="15">
        <v>2.1</v>
      </c>
      <c r="E181" s="15">
        <v>2</v>
      </c>
      <c r="F181" s="142"/>
      <c r="G181" s="3">
        <f>6.5/100*2</f>
        <v>0.13</v>
      </c>
      <c r="H181" s="3">
        <f>0.5/100*2</f>
        <v>0.01</v>
      </c>
      <c r="I181" s="3">
        <f>29.9/100*2</f>
        <v>0.59799999999999998</v>
      </c>
      <c r="J181" s="17">
        <f>142/100*2</f>
        <v>2.84</v>
      </c>
      <c r="K181" s="110"/>
      <c r="L181" s="3">
        <f>31.2/100*2</f>
        <v>0.624</v>
      </c>
      <c r="M181" s="5"/>
    </row>
    <row r="182" spans="1:14" ht="15.75" thickBot="1">
      <c r="F182" s="141"/>
    </row>
    <row r="183" spans="1:14" ht="15.75" thickBot="1">
      <c r="A183" s="278" t="s">
        <v>107</v>
      </c>
      <c r="B183" s="279"/>
      <c r="C183" s="298"/>
      <c r="D183" s="15"/>
      <c r="E183" s="15"/>
      <c r="F183" s="137">
        <v>250</v>
      </c>
      <c r="G183" s="3"/>
      <c r="H183" s="3"/>
      <c r="I183" s="3"/>
      <c r="J183" s="111"/>
      <c r="K183" s="112"/>
      <c r="L183" s="3"/>
      <c r="M183" s="5"/>
    </row>
    <row r="184" spans="1:14" ht="15.75" thickBot="1">
      <c r="A184" s="277" t="s">
        <v>69</v>
      </c>
      <c r="B184" s="277"/>
      <c r="C184" s="277"/>
      <c r="D184" s="15">
        <v>20</v>
      </c>
      <c r="E184" s="15">
        <v>20</v>
      </c>
      <c r="F184" s="142"/>
      <c r="G184" s="3">
        <f>18.9/100*20</f>
        <v>3.7799999999999994</v>
      </c>
      <c r="H184" s="3">
        <v>2.48</v>
      </c>
      <c r="I184" s="3">
        <v>0</v>
      </c>
      <c r="J184" s="17">
        <v>37.4</v>
      </c>
      <c r="K184" s="18"/>
      <c r="L184" s="3">
        <v>0</v>
      </c>
      <c r="M184" s="5"/>
    </row>
    <row r="185" spans="1:14" ht="15.75" thickBot="1">
      <c r="A185" s="277" t="s">
        <v>70</v>
      </c>
      <c r="B185" s="277"/>
      <c r="C185" s="277"/>
      <c r="D185" s="15">
        <v>60</v>
      </c>
      <c r="E185" s="15">
        <v>50</v>
      </c>
      <c r="F185" s="142"/>
      <c r="G185" s="3">
        <f>0.8/100*560</f>
        <v>4.4800000000000004</v>
      </c>
      <c r="H185" s="3">
        <v>0</v>
      </c>
      <c r="I185" s="3">
        <f>8.3/100*50</f>
        <v>4.1500000000000004</v>
      </c>
      <c r="J185" s="17">
        <f>37/100*50</f>
        <v>18.5</v>
      </c>
      <c r="K185" s="18"/>
      <c r="L185" s="3">
        <f>8/100*50</f>
        <v>4</v>
      </c>
      <c r="M185" s="5"/>
    </row>
    <row r="186" spans="1:14" ht="15.75" thickBot="1">
      <c r="A186" s="277" t="s">
        <v>52</v>
      </c>
      <c r="B186" s="277"/>
      <c r="C186" s="277"/>
      <c r="D186" s="15">
        <v>100</v>
      </c>
      <c r="E186" s="15">
        <v>70</v>
      </c>
      <c r="F186" s="142"/>
      <c r="G186" s="3">
        <f>1.2/100*70</f>
        <v>0.84</v>
      </c>
      <c r="H186" s="3">
        <v>0</v>
      </c>
      <c r="I186" s="3">
        <f>14/100*70</f>
        <v>9.8000000000000007</v>
      </c>
      <c r="J186" s="113">
        <f>62/100*70</f>
        <v>43.4</v>
      </c>
      <c r="K186" s="114"/>
      <c r="L186" s="3">
        <f>7.5/100*70</f>
        <v>5.25</v>
      </c>
      <c r="M186" s="5"/>
    </row>
    <row r="187" spans="1:14" ht="15.75" thickBot="1">
      <c r="A187" s="277" t="s">
        <v>54</v>
      </c>
      <c r="B187" s="277"/>
      <c r="C187" s="277"/>
      <c r="D187" s="15">
        <v>7</v>
      </c>
      <c r="E187" s="15">
        <v>5</v>
      </c>
      <c r="F187" s="142"/>
      <c r="G187" s="3">
        <f>0.2/100*5</f>
        <v>0.01</v>
      </c>
      <c r="H187" s="3">
        <v>0</v>
      </c>
      <c r="I187" s="3">
        <f>10/100*5</f>
        <v>0.5</v>
      </c>
      <c r="J187" s="113">
        <f>42/100*5</f>
        <v>2.1</v>
      </c>
      <c r="K187" s="114"/>
      <c r="L187" s="3">
        <f>8.5/100*5</f>
        <v>0.42500000000000004</v>
      </c>
      <c r="M187" s="5"/>
    </row>
    <row r="188" spans="1:14" ht="15.75" thickBot="1">
      <c r="A188" s="280" t="s">
        <v>55</v>
      </c>
      <c r="B188" s="281"/>
      <c r="C188" s="281"/>
      <c r="D188" s="15">
        <v>7</v>
      </c>
      <c r="E188" s="15">
        <v>5</v>
      </c>
      <c r="F188" s="142"/>
      <c r="G188" s="3">
        <f>1/100*5</f>
        <v>0.05</v>
      </c>
      <c r="H188" s="3">
        <v>0</v>
      </c>
      <c r="I188" s="3">
        <f>6.1/100*5</f>
        <v>0.30499999999999999</v>
      </c>
      <c r="J188" s="113">
        <f>29/100*5</f>
        <v>1.45</v>
      </c>
      <c r="K188" s="114"/>
      <c r="L188" s="3">
        <f>4/100*5</f>
        <v>0.2</v>
      </c>
      <c r="M188" s="5"/>
      <c r="N188">
        <v>18</v>
      </c>
    </row>
    <row r="189" spans="1:14" ht="15.75" thickBot="1">
      <c r="A189" s="280" t="s">
        <v>48</v>
      </c>
      <c r="B189" s="283"/>
      <c r="C189" s="284"/>
      <c r="D189" s="15">
        <v>2</v>
      </c>
      <c r="E189" s="15">
        <v>2</v>
      </c>
      <c r="F189" s="142"/>
      <c r="G189" s="3">
        <f>0.4/100*2</f>
        <v>8.0000000000000002E-3</v>
      </c>
      <c r="H189" s="3">
        <f>78.5/100*2</f>
        <v>1.57</v>
      </c>
      <c r="I189" s="3">
        <f>0.5/100*2</f>
        <v>0.01</v>
      </c>
      <c r="J189" s="17">
        <f>734/100*2</f>
        <v>14.68</v>
      </c>
      <c r="K189" s="18"/>
      <c r="L189" s="3">
        <v>0</v>
      </c>
      <c r="M189" s="5"/>
    </row>
    <row r="190" spans="1:14" ht="15.75" thickBot="1">
      <c r="A190" s="277" t="s">
        <v>60</v>
      </c>
      <c r="B190" s="277"/>
      <c r="C190" s="277"/>
      <c r="D190" s="15">
        <v>2</v>
      </c>
      <c r="E190" s="15">
        <v>2</v>
      </c>
      <c r="F190" s="142"/>
      <c r="G190" s="1">
        <v>0</v>
      </c>
      <c r="H190" s="1">
        <f>99.9/100*2</f>
        <v>1.9980000000000002</v>
      </c>
      <c r="I190" s="1">
        <v>0</v>
      </c>
      <c r="J190" s="17">
        <f>900/100*2</f>
        <v>18</v>
      </c>
      <c r="K190" s="18"/>
      <c r="L190" s="1">
        <v>0</v>
      </c>
      <c r="M190" s="5"/>
    </row>
    <row r="191" spans="1:14" ht="15.75" thickBot="1">
      <c r="A191" s="277" t="s">
        <v>63</v>
      </c>
      <c r="B191" s="277"/>
      <c r="C191" s="277"/>
      <c r="D191" s="15">
        <v>8</v>
      </c>
      <c r="E191" s="15">
        <v>8</v>
      </c>
      <c r="F191" s="142"/>
      <c r="G191" s="3">
        <f>2.6/100*8</f>
        <v>0.20800000000000002</v>
      </c>
      <c r="H191" s="3">
        <f>15/100*8</f>
        <v>1.2</v>
      </c>
      <c r="I191" s="3">
        <f>3.6/100*8</f>
        <v>0.28800000000000003</v>
      </c>
      <c r="J191" s="17">
        <f>160/100*8</f>
        <v>12.8</v>
      </c>
      <c r="K191" s="18"/>
      <c r="L191" s="3">
        <v>0</v>
      </c>
      <c r="M191" s="5"/>
    </row>
    <row r="192" spans="1:14" ht="15.75" thickBot="1">
      <c r="A192" s="280" t="s">
        <v>78</v>
      </c>
      <c r="B192" s="283"/>
      <c r="C192" s="284"/>
      <c r="D192" s="15">
        <v>3</v>
      </c>
      <c r="E192" s="15">
        <v>3</v>
      </c>
      <c r="F192" s="142"/>
      <c r="G192" s="3">
        <f>2.2/100*3</f>
        <v>6.6000000000000003E-2</v>
      </c>
      <c r="H192" s="3">
        <v>0</v>
      </c>
      <c r="I192" s="3">
        <f>15.8/100*3</f>
        <v>0.47399999999999998</v>
      </c>
      <c r="J192" s="113">
        <f>63.2/100*3</f>
        <v>1.8959999999999999</v>
      </c>
      <c r="K192" s="114"/>
      <c r="L192" s="3">
        <f>26/100*3</f>
        <v>0.78</v>
      </c>
      <c r="M192" s="5"/>
    </row>
    <row r="193" spans="1:14" ht="15.75" thickBot="1">
      <c r="A193" s="277" t="s">
        <v>72</v>
      </c>
      <c r="B193" s="277"/>
      <c r="C193" s="277"/>
      <c r="D193" s="15">
        <v>6</v>
      </c>
      <c r="E193" s="15">
        <v>5.6</v>
      </c>
      <c r="F193" s="142"/>
      <c r="G193" s="3">
        <f>2.6/100*5.6</f>
        <v>0.14560000000000001</v>
      </c>
      <c r="H193" s="3">
        <v>0</v>
      </c>
      <c r="I193" s="3">
        <f>6.5/100*5.6</f>
        <v>0.36399999999999999</v>
      </c>
      <c r="J193" s="17">
        <f>37/100*5.6</f>
        <v>2.0720000000000001</v>
      </c>
      <c r="K193" s="18"/>
      <c r="L193" s="3">
        <f>126/100*5.6</f>
        <v>7.0559999999999992</v>
      </c>
      <c r="M193" s="5"/>
    </row>
    <row r="194" spans="1:14" ht="15.75" thickBot="1">
      <c r="F194" s="141"/>
    </row>
    <row r="195" spans="1:14" ht="15.75" thickBot="1">
      <c r="A195" s="278" t="s">
        <v>115</v>
      </c>
      <c r="B195" s="279"/>
      <c r="C195" s="279"/>
      <c r="D195" s="279"/>
      <c r="E195" s="298"/>
      <c r="F195" s="137">
        <v>250</v>
      </c>
      <c r="G195" s="3"/>
      <c r="H195" s="3"/>
      <c r="I195" s="3"/>
      <c r="J195" s="287"/>
      <c r="K195" s="288"/>
      <c r="L195" s="3"/>
      <c r="M195" s="5"/>
    </row>
    <row r="196" spans="1:14" ht="15.75" thickBot="1">
      <c r="A196" s="280" t="s">
        <v>28</v>
      </c>
      <c r="B196" s="281"/>
      <c r="C196" s="282"/>
      <c r="D196" s="15">
        <v>20</v>
      </c>
      <c r="E196" s="15">
        <v>20</v>
      </c>
      <c r="F196" s="142"/>
      <c r="G196" s="3">
        <f>18.9/100*20</f>
        <v>3.7799999999999994</v>
      </c>
      <c r="H196" s="3">
        <f>12.4/100*20</f>
        <v>2.48</v>
      </c>
      <c r="I196" s="3">
        <v>0</v>
      </c>
      <c r="J196" s="17">
        <f>187/100*20</f>
        <v>37.400000000000006</v>
      </c>
      <c r="K196" s="18"/>
      <c r="L196" s="3">
        <v>0</v>
      </c>
      <c r="M196" s="5"/>
    </row>
    <row r="197" spans="1:14" ht="15.75" thickBot="1">
      <c r="A197" s="280" t="s">
        <v>32</v>
      </c>
      <c r="B197" s="281"/>
      <c r="C197" s="282"/>
      <c r="D197" s="15">
        <v>37.5</v>
      </c>
      <c r="E197" s="15">
        <v>30</v>
      </c>
      <c r="F197" s="142"/>
      <c r="G197" s="3">
        <f>1.2/100*30</f>
        <v>0.36</v>
      </c>
      <c r="H197" s="3">
        <v>0</v>
      </c>
      <c r="I197" s="3">
        <f>4.1/100*30</f>
        <v>1.2299999999999998</v>
      </c>
      <c r="J197" s="130">
        <f>22/100*30</f>
        <v>6.6</v>
      </c>
      <c r="K197" s="112"/>
      <c r="L197" s="3">
        <f>24/100*30</f>
        <v>7.1999999999999993</v>
      </c>
      <c r="M197" s="5"/>
    </row>
    <row r="198" spans="1:14" ht="15.75" thickBot="1">
      <c r="A198" s="280" t="s">
        <v>33</v>
      </c>
      <c r="B198" s="281"/>
      <c r="C198" s="282"/>
      <c r="D198" s="15">
        <v>100</v>
      </c>
      <c r="E198" s="15">
        <v>92.5</v>
      </c>
      <c r="F198" s="142"/>
      <c r="G198" s="3">
        <f>1.2/100*92.5</f>
        <v>1.1100000000000001</v>
      </c>
      <c r="H198" s="3">
        <v>0</v>
      </c>
      <c r="I198" s="3">
        <f>14/100*92.5</f>
        <v>12.950000000000001</v>
      </c>
      <c r="J198" s="130">
        <f>62/100*92.5</f>
        <v>57.35</v>
      </c>
      <c r="K198" s="112"/>
      <c r="L198" s="3">
        <f>7.5/100*92.5</f>
        <v>6.9375</v>
      </c>
      <c r="M198" s="5"/>
    </row>
    <row r="199" spans="1:14" ht="15.75" thickBot="1">
      <c r="A199" s="280" t="s">
        <v>34</v>
      </c>
      <c r="B199" s="281"/>
      <c r="C199" s="282"/>
      <c r="D199" s="15">
        <v>7</v>
      </c>
      <c r="E199" s="15">
        <v>5</v>
      </c>
      <c r="F199" s="142"/>
      <c r="G199" s="3">
        <f>0.2/100*5</f>
        <v>0.01</v>
      </c>
      <c r="H199" s="3">
        <v>0</v>
      </c>
      <c r="I199" s="3">
        <f>10/100*5</f>
        <v>0.5</v>
      </c>
      <c r="J199" s="130">
        <f>42/100*5</f>
        <v>2.1</v>
      </c>
      <c r="K199" s="112"/>
      <c r="L199" s="3">
        <f>8.5/100*5</f>
        <v>0.42500000000000004</v>
      </c>
      <c r="M199" s="5"/>
    </row>
    <row r="200" spans="1:14" ht="15.75" thickBot="1">
      <c r="A200" s="280" t="s">
        <v>35</v>
      </c>
      <c r="B200" s="281"/>
      <c r="C200" s="282"/>
      <c r="D200" s="15">
        <v>7</v>
      </c>
      <c r="E200" s="15">
        <v>5</v>
      </c>
      <c r="F200" s="142"/>
      <c r="G200" s="3">
        <f>1/100*5</f>
        <v>0.05</v>
      </c>
      <c r="H200" s="3">
        <v>0</v>
      </c>
      <c r="I200" s="3">
        <f>6.1/100*5</f>
        <v>0.30499999999999999</v>
      </c>
      <c r="J200" s="130">
        <f>29/100*5</f>
        <v>1.45</v>
      </c>
      <c r="K200" s="112"/>
      <c r="L200" s="3">
        <f>4/100*5</f>
        <v>0.2</v>
      </c>
      <c r="M200" s="5"/>
      <c r="N200">
        <v>19</v>
      </c>
    </row>
    <row r="201" spans="1:14" ht="15.75" thickBot="1">
      <c r="A201" s="280" t="s">
        <v>23</v>
      </c>
      <c r="B201" s="281"/>
      <c r="C201" s="282"/>
      <c r="D201" s="15">
        <v>2</v>
      </c>
      <c r="E201" s="15">
        <v>2</v>
      </c>
      <c r="F201" s="142"/>
      <c r="G201" s="3">
        <f>0.4/100*2</f>
        <v>8.0000000000000002E-3</v>
      </c>
      <c r="H201" s="3">
        <f>78.5/100*2</f>
        <v>1.57</v>
      </c>
      <c r="I201" s="3">
        <f>0.5/100*2</f>
        <v>0.01</v>
      </c>
      <c r="J201" s="130">
        <f>734/100*2</f>
        <v>14.68</v>
      </c>
      <c r="K201" s="112"/>
      <c r="L201" s="3">
        <f>0.6/100*2</f>
        <v>1.2E-2</v>
      </c>
      <c r="M201" s="5"/>
    </row>
    <row r="202" spans="1:14" ht="15.75" thickBot="1">
      <c r="A202" s="280" t="s">
        <v>36</v>
      </c>
      <c r="B202" s="281"/>
      <c r="C202" s="282"/>
      <c r="D202" s="15">
        <v>2</v>
      </c>
      <c r="E202" s="15">
        <v>2</v>
      </c>
      <c r="F202" s="142"/>
      <c r="G202" s="3">
        <v>0</v>
      </c>
      <c r="H202" s="3">
        <f>99.9/100*2</f>
        <v>1.9980000000000002</v>
      </c>
      <c r="I202" s="3">
        <v>0</v>
      </c>
      <c r="J202" s="130">
        <f>900/100*2</f>
        <v>18</v>
      </c>
      <c r="K202" s="112"/>
      <c r="L202" s="3">
        <v>0</v>
      </c>
      <c r="M202" s="5"/>
    </row>
    <row r="203" spans="1:14" ht="15.75" thickBot="1">
      <c r="A203" s="280" t="s">
        <v>37</v>
      </c>
      <c r="B203" s="281"/>
      <c r="C203" s="282"/>
      <c r="D203" s="15">
        <v>4</v>
      </c>
      <c r="E203" s="15">
        <v>4</v>
      </c>
      <c r="F203" s="142"/>
      <c r="G203" s="3">
        <f>2.6/100*4</f>
        <v>0.10400000000000001</v>
      </c>
      <c r="H203" s="3">
        <f>15/100*4</f>
        <v>0.6</v>
      </c>
      <c r="I203" s="3">
        <f>3.6/100*4</f>
        <v>0.14400000000000002</v>
      </c>
      <c r="J203" s="17">
        <f>160/100*4</f>
        <v>6.4</v>
      </c>
      <c r="K203" s="18"/>
      <c r="L203" s="3">
        <v>0</v>
      </c>
      <c r="M203" s="5"/>
    </row>
    <row r="204" spans="1:14" ht="15.75" thickBot="1">
      <c r="A204" s="280" t="s">
        <v>38</v>
      </c>
      <c r="B204" s="281"/>
      <c r="C204" s="282"/>
      <c r="D204" s="15">
        <v>4</v>
      </c>
      <c r="E204" s="15">
        <v>4</v>
      </c>
      <c r="F204" s="142"/>
      <c r="G204" s="3">
        <f>2.2/100*4</f>
        <v>8.8000000000000009E-2</v>
      </c>
      <c r="H204" s="3">
        <v>0</v>
      </c>
      <c r="I204" s="3">
        <f>15.8/100*4</f>
        <v>0.63200000000000001</v>
      </c>
      <c r="J204" s="130">
        <f>63.2/100*4</f>
        <v>2.528</v>
      </c>
      <c r="K204" s="112"/>
      <c r="L204" s="3">
        <f>26/100*4</f>
        <v>1.04</v>
      </c>
      <c r="M204" s="5"/>
    </row>
    <row r="205" spans="1:14" ht="15.75" thickBot="1">
      <c r="A205" s="280" t="s">
        <v>65</v>
      </c>
      <c r="B205" s="281"/>
      <c r="C205" s="281"/>
      <c r="D205" s="15">
        <v>10</v>
      </c>
      <c r="E205" s="15">
        <v>10</v>
      </c>
      <c r="F205" s="142"/>
      <c r="G205" s="15">
        <f>11.5/100*10</f>
        <v>1.1500000000000001</v>
      </c>
      <c r="H205" s="15">
        <f>3.3/100*10</f>
        <v>0.33</v>
      </c>
      <c r="I205" s="15">
        <f>65.5/100*10</f>
        <v>6.5500000000000007</v>
      </c>
      <c r="J205" s="132">
        <f>348/100*10</f>
        <v>34.799999999999997</v>
      </c>
      <c r="K205" s="108"/>
      <c r="L205" s="15">
        <v>0</v>
      </c>
      <c r="M205" s="105"/>
    </row>
    <row r="206" spans="1:14" ht="15.75" thickBot="1">
      <c r="F206" s="141"/>
    </row>
    <row r="207" spans="1:14" ht="15.75" thickBot="1">
      <c r="A207" s="278" t="s">
        <v>111</v>
      </c>
      <c r="B207" s="279"/>
      <c r="C207" s="279"/>
      <c r="D207" s="279"/>
      <c r="E207" s="298"/>
      <c r="F207" s="137">
        <v>250</v>
      </c>
      <c r="G207" s="3"/>
      <c r="H207" s="3"/>
      <c r="I207" s="3"/>
      <c r="J207" s="287"/>
      <c r="K207" s="288"/>
      <c r="L207" s="3"/>
      <c r="M207" s="5"/>
    </row>
    <row r="208" spans="1:14" ht="15.75" thickBot="1">
      <c r="A208" s="277" t="s">
        <v>28</v>
      </c>
      <c r="B208" s="277"/>
      <c r="C208" s="277"/>
      <c r="D208" s="15">
        <v>20</v>
      </c>
      <c r="E208" s="15">
        <v>20</v>
      </c>
      <c r="F208" s="142"/>
      <c r="G208" s="3">
        <f>18.9/100*20</f>
        <v>3.7799999999999994</v>
      </c>
      <c r="H208" s="3">
        <f>12.4/100*20</f>
        <v>2.48</v>
      </c>
      <c r="I208" s="3">
        <v>0</v>
      </c>
      <c r="J208" s="17">
        <f>187/100*20</f>
        <v>37.400000000000006</v>
      </c>
      <c r="K208" s="110"/>
      <c r="L208" s="3">
        <v>0</v>
      </c>
      <c r="M208" s="5"/>
    </row>
    <row r="209" spans="1:14" ht="15.75" thickBot="1">
      <c r="A209" s="277" t="s">
        <v>33</v>
      </c>
      <c r="B209" s="277"/>
      <c r="C209" s="277"/>
      <c r="D209" s="15">
        <v>100</v>
      </c>
      <c r="E209" s="15">
        <v>87.5</v>
      </c>
      <c r="F209" s="142"/>
      <c r="G209" s="3">
        <f>1.2/100*87.5</f>
        <v>1.05</v>
      </c>
      <c r="H209" s="3">
        <v>0</v>
      </c>
      <c r="I209" s="3">
        <f>14/100*87.5</f>
        <v>12.250000000000002</v>
      </c>
      <c r="J209" s="130">
        <f>62/100*87.5</f>
        <v>54.25</v>
      </c>
      <c r="K209" s="112"/>
      <c r="L209" s="3">
        <f>7.5/100*87.5</f>
        <v>6.5625</v>
      </c>
      <c r="M209" s="5"/>
    </row>
    <row r="210" spans="1:14" ht="15.75" thickBot="1">
      <c r="A210" s="277" t="s">
        <v>34</v>
      </c>
      <c r="B210" s="277"/>
      <c r="C210" s="277"/>
      <c r="D210" s="15">
        <v>7</v>
      </c>
      <c r="E210" s="15">
        <v>5</v>
      </c>
      <c r="F210" s="142"/>
      <c r="G210" s="3">
        <f>0.2/100*5</f>
        <v>0.01</v>
      </c>
      <c r="H210" s="3">
        <v>0</v>
      </c>
      <c r="I210" s="3">
        <f>10/100*5</f>
        <v>0.5</v>
      </c>
      <c r="J210" s="130">
        <f>42/100*5</f>
        <v>2.1</v>
      </c>
      <c r="K210" s="112"/>
      <c r="L210" s="3">
        <f>8.5/100*5</f>
        <v>0.42500000000000004</v>
      </c>
      <c r="M210" s="5"/>
    </row>
    <row r="211" spans="1:14" ht="15.75" thickBot="1">
      <c r="A211" s="277" t="s">
        <v>35</v>
      </c>
      <c r="B211" s="277"/>
      <c r="C211" s="277"/>
      <c r="D211" s="15">
        <v>7</v>
      </c>
      <c r="E211" s="15">
        <v>5</v>
      </c>
      <c r="F211" s="142"/>
      <c r="G211" s="3">
        <f>1/100*5</f>
        <v>0.05</v>
      </c>
      <c r="H211" s="3">
        <v>0</v>
      </c>
      <c r="I211" s="3">
        <f>6.1/100*5</f>
        <v>0.30499999999999999</v>
      </c>
      <c r="J211" s="130">
        <f>29/100*5</f>
        <v>1.45</v>
      </c>
      <c r="K211" s="112"/>
      <c r="L211" s="3">
        <f>4/100*5</f>
        <v>0.2</v>
      </c>
      <c r="M211" s="5"/>
      <c r="N211">
        <v>20</v>
      </c>
    </row>
    <row r="212" spans="1:14" ht="15.75" thickBot="1">
      <c r="A212" s="280" t="s">
        <v>23</v>
      </c>
      <c r="B212" s="281"/>
      <c r="C212" s="281"/>
      <c r="D212" s="15">
        <v>2</v>
      </c>
      <c r="E212" s="15">
        <v>2</v>
      </c>
      <c r="F212" s="142"/>
      <c r="G212" s="3">
        <f>0.4/100*2</f>
        <v>8.0000000000000002E-3</v>
      </c>
      <c r="H212" s="3">
        <f>78.5/100*2</f>
        <v>1.57</v>
      </c>
      <c r="I212" s="3">
        <f>0.5/100*2</f>
        <v>0.01</v>
      </c>
      <c r="J212" s="130">
        <f>734/100*2</f>
        <v>14.68</v>
      </c>
      <c r="K212" s="112"/>
      <c r="L212" s="3">
        <f>0.6/100*2</f>
        <v>1.2E-2</v>
      </c>
      <c r="M212" s="5"/>
    </row>
    <row r="213" spans="1:14" ht="15.75" thickBot="1">
      <c r="A213" s="277" t="s">
        <v>36</v>
      </c>
      <c r="B213" s="277"/>
      <c r="C213" s="277"/>
      <c r="D213" s="15">
        <v>2</v>
      </c>
      <c r="E213" s="15">
        <v>2</v>
      </c>
      <c r="F213" s="142"/>
      <c r="G213" s="3">
        <v>0</v>
      </c>
      <c r="H213" s="3">
        <f>99.9/100*2</f>
        <v>1.9980000000000002</v>
      </c>
      <c r="I213" s="3">
        <v>0</v>
      </c>
      <c r="J213" s="130">
        <f>900/100*2</f>
        <v>18</v>
      </c>
      <c r="K213" s="112"/>
      <c r="L213" s="22">
        <v>0</v>
      </c>
      <c r="M213" s="5"/>
    </row>
    <row r="214" spans="1:14" ht="15.75" thickBot="1">
      <c r="A214" s="277" t="s">
        <v>37</v>
      </c>
      <c r="B214" s="277"/>
      <c r="C214" s="277"/>
      <c r="D214" s="15">
        <v>8</v>
      </c>
      <c r="E214" s="15">
        <v>8</v>
      </c>
      <c r="F214" s="142"/>
      <c r="G214" s="3">
        <f>2.6/100*8</f>
        <v>0.20800000000000002</v>
      </c>
      <c r="H214" s="3">
        <f>15/100*8</f>
        <v>1.2</v>
      </c>
      <c r="I214" s="3">
        <f>3.6/100*8</f>
        <v>0.28800000000000003</v>
      </c>
      <c r="J214" s="17">
        <f>160/100*8</f>
        <v>12.8</v>
      </c>
      <c r="K214" s="110"/>
      <c r="L214" s="22">
        <v>0</v>
      </c>
      <c r="M214" s="5"/>
    </row>
    <row r="215" spans="1:14" ht="15.75" thickBot="1">
      <c r="A215" s="277" t="s">
        <v>198</v>
      </c>
      <c r="B215" s="277"/>
      <c r="C215" s="277"/>
      <c r="D215" s="15">
        <v>5</v>
      </c>
      <c r="E215" s="15">
        <v>5</v>
      </c>
      <c r="F215" s="142"/>
      <c r="G215" s="3">
        <f>12.7/100*5</f>
        <v>0.63500000000000001</v>
      </c>
      <c r="H215" s="3">
        <f>11.5/100*5</f>
        <v>0.57500000000000007</v>
      </c>
      <c r="I215" s="3">
        <f>0.7/100*5</f>
        <v>3.4999999999999996E-2</v>
      </c>
      <c r="J215" s="17">
        <f>241/100*5</f>
        <v>12.05</v>
      </c>
      <c r="K215" s="110"/>
      <c r="L215" s="22">
        <v>0</v>
      </c>
      <c r="M215" s="5"/>
    </row>
    <row r="216" spans="1:14" ht="15.75" thickBot="1">
      <c r="A216" s="280" t="s">
        <v>135</v>
      </c>
      <c r="B216" s="281"/>
      <c r="C216" s="281"/>
      <c r="D216" s="15">
        <v>10</v>
      </c>
      <c r="E216" s="15">
        <v>10</v>
      </c>
      <c r="F216" s="142"/>
      <c r="G216" s="15">
        <f>10/100*10</f>
        <v>1</v>
      </c>
      <c r="H216" s="15">
        <f>1/100*10</f>
        <v>0.1</v>
      </c>
      <c r="I216" s="15">
        <f>71/100*10</f>
        <v>7.1</v>
      </c>
      <c r="J216" s="132">
        <f>340/100*10</f>
        <v>34</v>
      </c>
      <c r="K216" s="108"/>
      <c r="L216" s="15">
        <v>0</v>
      </c>
      <c r="M216" s="105"/>
    </row>
    <row r="217" spans="1:14" ht="15.75" thickBot="1"/>
    <row r="218" spans="1:14" ht="15.75" thickBot="1">
      <c r="A218" s="278" t="s">
        <v>258</v>
      </c>
      <c r="B218" s="279"/>
      <c r="C218" s="279"/>
      <c r="D218" s="279"/>
      <c r="E218" s="298"/>
      <c r="F218" s="137">
        <v>250</v>
      </c>
      <c r="G218" s="3"/>
      <c r="H218" s="3"/>
      <c r="I218" s="3"/>
      <c r="J218" s="287"/>
      <c r="K218" s="288"/>
      <c r="L218" s="3"/>
      <c r="M218" s="5"/>
    </row>
    <row r="219" spans="1:14" ht="15.75" thickBot="1">
      <c r="A219" s="280" t="s">
        <v>28</v>
      </c>
      <c r="B219" s="281"/>
      <c r="C219" s="282"/>
      <c r="D219" s="15">
        <v>20</v>
      </c>
      <c r="E219" s="15">
        <v>20</v>
      </c>
      <c r="F219" s="142"/>
      <c r="G219" s="3">
        <f>18.9/100*20</f>
        <v>3.7799999999999994</v>
      </c>
      <c r="H219" s="3">
        <f>12.4/100*20</f>
        <v>2.48</v>
      </c>
      <c r="I219" s="3">
        <v>0</v>
      </c>
      <c r="J219" s="275">
        <f>187/100*20</f>
        <v>37.400000000000006</v>
      </c>
      <c r="K219" s="276"/>
      <c r="L219" s="3">
        <v>0</v>
      </c>
      <c r="M219" s="5"/>
    </row>
    <row r="220" spans="1:14" ht="15.75" thickBot="1">
      <c r="A220" s="280" t="s">
        <v>33</v>
      </c>
      <c r="B220" s="281"/>
      <c r="C220" s="282"/>
      <c r="D220" s="15">
        <v>100</v>
      </c>
      <c r="E220" s="15">
        <v>92.5</v>
      </c>
      <c r="F220" s="142"/>
      <c r="G220" s="3">
        <f>1.2/100*92.5</f>
        <v>1.1100000000000001</v>
      </c>
      <c r="H220" s="3">
        <v>0</v>
      </c>
      <c r="I220" s="3">
        <f>14/100*92.5</f>
        <v>12.950000000000001</v>
      </c>
      <c r="J220" s="268">
        <f>62/100*92.5</f>
        <v>57.35</v>
      </c>
      <c r="K220" s="271"/>
      <c r="L220" s="3">
        <f>7.5/100*92.5</f>
        <v>6.9375</v>
      </c>
      <c r="M220" s="5"/>
    </row>
    <row r="221" spans="1:14" ht="15.75" thickBot="1">
      <c r="A221" s="280" t="s">
        <v>34</v>
      </c>
      <c r="B221" s="281"/>
      <c r="C221" s="282"/>
      <c r="D221" s="15">
        <v>7</v>
      </c>
      <c r="E221" s="15">
        <v>5</v>
      </c>
      <c r="F221" s="142"/>
      <c r="G221" s="3">
        <f>0.2/100*5</f>
        <v>0.01</v>
      </c>
      <c r="H221" s="3">
        <v>0</v>
      </c>
      <c r="I221" s="3">
        <f>10/100*5</f>
        <v>0.5</v>
      </c>
      <c r="J221" s="268">
        <f>42/100*5</f>
        <v>2.1</v>
      </c>
      <c r="K221" s="271"/>
      <c r="L221" s="3">
        <f>8.5/100*5</f>
        <v>0.42500000000000004</v>
      </c>
      <c r="M221" s="5"/>
    </row>
    <row r="222" spans="1:14" ht="15.75" thickBot="1">
      <c r="A222" s="280" t="s">
        <v>35</v>
      </c>
      <c r="B222" s="281"/>
      <c r="C222" s="282"/>
      <c r="D222" s="15">
        <v>7</v>
      </c>
      <c r="E222" s="15">
        <v>5</v>
      </c>
      <c r="F222" s="142"/>
      <c r="G222" s="3">
        <f>1/100*5</f>
        <v>0.05</v>
      </c>
      <c r="H222" s="3">
        <v>0</v>
      </c>
      <c r="I222" s="3">
        <f>6.1/100*5</f>
        <v>0.30499999999999999</v>
      </c>
      <c r="J222" s="268">
        <f>29/100*5</f>
        <v>1.45</v>
      </c>
      <c r="K222" s="271"/>
      <c r="L222" s="3">
        <f>4/100*5</f>
        <v>0.2</v>
      </c>
      <c r="M222" s="5"/>
    </row>
    <row r="223" spans="1:14" ht="15.75" thickBot="1">
      <c r="A223" s="280" t="s">
        <v>23</v>
      </c>
      <c r="B223" s="281"/>
      <c r="C223" s="282"/>
      <c r="D223" s="15">
        <v>2</v>
      </c>
      <c r="E223" s="15">
        <v>2</v>
      </c>
      <c r="F223" s="142"/>
      <c r="G223" s="3">
        <f>0.4/100*2</f>
        <v>8.0000000000000002E-3</v>
      </c>
      <c r="H223" s="3">
        <f>78.5/100*2</f>
        <v>1.57</v>
      </c>
      <c r="I223" s="3">
        <f>0.5/100*2</f>
        <v>0.01</v>
      </c>
      <c r="J223" s="268">
        <f>734/100*2</f>
        <v>14.68</v>
      </c>
      <c r="K223" s="271"/>
      <c r="L223" s="3">
        <f>0.6/100*2</f>
        <v>1.2E-2</v>
      </c>
      <c r="M223" s="5"/>
    </row>
    <row r="224" spans="1:14" ht="15.75" thickBot="1">
      <c r="A224" s="280" t="s">
        <v>36</v>
      </c>
      <c r="B224" s="281"/>
      <c r="C224" s="282"/>
      <c r="D224" s="15">
        <v>2</v>
      </c>
      <c r="E224" s="15">
        <v>2</v>
      </c>
      <c r="F224" s="142"/>
      <c r="G224" s="3">
        <v>0</v>
      </c>
      <c r="H224" s="3">
        <f>99.9/100*2</f>
        <v>1.9980000000000002</v>
      </c>
      <c r="I224" s="3">
        <v>0</v>
      </c>
      <c r="J224" s="268">
        <f>900/100*2</f>
        <v>18</v>
      </c>
      <c r="K224" s="271"/>
      <c r="L224" s="3">
        <v>0</v>
      </c>
      <c r="M224" s="5"/>
    </row>
    <row r="225" spans="1:13" ht="15.75" thickBot="1">
      <c r="A225" s="280" t="s">
        <v>37</v>
      </c>
      <c r="B225" s="281"/>
      <c r="C225" s="282"/>
      <c r="D225" s="15">
        <v>6</v>
      </c>
      <c r="E225" s="15">
        <v>6</v>
      </c>
      <c r="F225" s="142"/>
      <c r="G225" s="3">
        <f>2.6/100*6</f>
        <v>0.15600000000000003</v>
      </c>
      <c r="H225" s="3">
        <f>15/100*6</f>
        <v>0.89999999999999991</v>
      </c>
      <c r="I225" s="3">
        <f>3.6/100*6</f>
        <v>0.21600000000000003</v>
      </c>
      <c r="J225" s="275">
        <f>160/100*6</f>
        <v>9.6000000000000014</v>
      </c>
      <c r="K225" s="276"/>
      <c r="L225" s="3">
        <v>0</v>
      </c>
      <c r="M225" s="5"/>
    </row>
    <row r="226" spans="1:13" ht="15.75" thickBot="1">
      <c r="A226" s="280" t="s">
        <v>65</v>
      </c>
      <c r="B226" s="281"/>
      <c r="C226" s="281"/>
      <c r="D226" s="15">
        <v>10</v>
      </c>
      <c r="E226" s="15">
        <v>10</v>
      </c>
      <c r="F226" s="142"/>
      <c r="G226" s="15">
        <f>11.5/100*10</f>
        <v>1.1500000000000001</v>
      </c>
      <c r="H226" s="15">
        <f>3.3/100*10</f>
        <v>0.33</v>
      </c>
      <c r="I226" s="15">
        <f>65.5/100*10</f>
        <v>6.5500000000000007</v>
      </c>
      <c r="J226" s="218">
        <f>348/100*10</f>
        <v>34.799999999999997</v>
      </c>
      <c r="K226" s="262"/>
      <c r="L226" s="15">
        <v>0</v>
      </c>
      <c r="M226" s="257"/>
    </row>
  </sheetData>
  <mergeCells count="202">
    <mergeCell ref="A226:C226"/>
    <mergeCell ref="A218:E218"/>
    <mergeCell ref="J218:K218"/>
    <mergeCell ref="A219:C219"/>
    <mergeCell ref="A220:C220"/>
    <mergeCell ref="A221:C221"/>
    <mergeCell ref="A222:C222"/>
    <mergeCell ref="A223:C223"/>
    <mergeCell ref="A224:C224"/>
    <mergeCell ref="A225:C225"/>
    <mergeCell ref="A214:C214"/>
    <mergeCell ref="A215:C215"/>
    <mergeCell ref="A216:C216"/>
    <mergeCell ref="A208:C208"/>
    <mergeCell ref="A209:C209"/>
    <mergeCell ref="A210:C210"/>
    <mergeCell ref="A211:C211"/>
    <mergeCell ref="A212:C212"/>
    <mergeCell ref="A213:C213"/>
    <mergeCell ref="A202:C202"/>
    <mergeCell ref="A203:C203"/>
    <mergeCell ref="A204:C204"/>
    <mergeCell ref="A205:C205"/>
    <mergeCell ref="A207:E207"/>
    <mergeCell ref="J207:K207"/>
    <mergeCell ref="A196:C196"/>
    <mergeCell ref="A197:C197"/>
    <mergeCell ref="A198:C198"/>
    <mergeCell ref="A199:C199"/>
    <mergeCell ref="A200:C200"/>
    <mergeCell ref="A201:C201"/>
    <mergeCell ref="A190:C190"/>
    <mergeCell ref="A191:C191"/>
    <mergeCell ref="A192:C192"/>
    <mergeCell ref="A193:C193"/>
    <mergeCell ref="A195:E195"/>
    <mergeCell ref="J195:K195"/>
    <mergeCell ref="A185:C185"/>
    <mergeCell ref="A186:C186"/>
    <mergeCell ref="A187:C187"/>
    <mergeCell ref="A188:C188"/>
    <mergeCell ref="A189:C189"/>
    <mergeCell ref="A178:C178"/>
    <mergeCell ref="A179:C179"/>
    <mergeCell ref="A180:C180"/>
    <mergeCell ref="A181:C181"/>
    <mergeCell ref="A183:C183"/>
    <mergeCell ref="A184:C184"/>
    <mergeCell ref="A171:C171"/>
    <mergeCell ref="A172:C172"/>
    <mergeCell ref="A173:C173"/>
    <mergeCell ref="A174:C174"/>
    <mergeCell ref="A176:C176"/>
    <mergeCell ref="A177:C177"/>
    <mergeCell ref="A166:E166"/>
    <mergeCell ref="J166:K166"/>
    <mergeCell ref="A167:C167"/>
    <mergeCell ref="A168:C168"/>
    <mergeCell ref="A169:C169"/>
    <mergeCell ref="A170:C170"/>
    <mergeCell ref="A160:C160"/>
    <mergeCell ref="A161:C161"/>
    <mergeCell ref="A162:C162"/>
    <mergeCell ref="A163:C163"/>
    <mergeCell ref="A164:C164"/>
    <mergeCell ref="A154:C154"/>
    <mergeCell ref="A156:E156"/>
    <mergeCell ref="J156:K156"/>
    <mergeCell ref="A157:C157"/>
    <mergeCell ref="A158:C158"/>
    <mergeCell ref="A159:C159"/>
    <mergeCell ref="A147:C147"/>
    <mergeCell ref="A148:C148"/>
    <mergeCell ref="A149:C149"/>
    <mergeCell ref="A150:C150"/>
    <mergeCell ref="A151:C151"/>
    <mergeCell ref="A152:C152"/>
    <mergeCell ref="A140:C140"/>
    <mergeCell ref="A141:C141"/>
    <mergeCell ref="A142:C142"/>
    <mergeCell ref="A145:C145"/>
    <mergeCell ref="A146:C146"/>
    <mergeCell ref="A134:C134"/>
    <mergeCell ref="A135:C135"/>
    <mergeCell ref="A136:C136"/>
    <mergeCell ref="A137:C137"/>
    <mergeCell ref="A138:C138"/>
    <mergeCell ref="A139:C139"/>
    <mergeCell ref="A126:C126"/>
    <mergeCell ref="A127:C127"/>
    <mergeCell ref="A128:C128"/>
    <mergeCell ref="A130:C130"/>
    <mergeCell ref="A120:C120"/>
    <mergeCell ref="A121:C121"/>
    <mergeCell ref="A123:C123"/>
    <mergeCell ref="A124:C124"/>
    <mergeCell ref="A125:C125"/>
    <mergeCell ref="A114:C114"/>
    <mergeCell ref="A115:C115"/>
    <mergeCell ref="A116:C116"/>
    <mergeCell ref="A117:C117"/>
    <mergeCell ref="A118:C118"/>
    <mergeCell ref="A119:C119"/>
    <mergeCell ref="A109:C109"/>
    <mergeCell ref="A110:C110"/>
    <mergeCell ref="A111:C111"/>
    <mergeCell ref="A113:C113"/>
    <mergeCell ref="A99:C99"/>
    <mergeCell ref="A100:C100"/>
    <mergeCell ref="A106:C106"/>
    <mergeCell ref="A107:C107"/>
    <mergeCell ref="A108:C108"/>
    <mergeCell ref="A95:C95"/>
    <mergeCell ref="A96:C96"/>
    <mergeCell ref="A97:C97"/>
    <mergeCell ref="A98:C98"/>
    <mergeCell ref="A89:C89"/>
    <mergeCell ref="A90:C90"/>
    <mergeCell ref="A92:C92"/>
    <mergeCell ref="A93:C93"/>
    <mergeCell ref="A94:C94"/>
    <mergeCell ref="A85:C85"/>
    <mergeCell ref="A87:C87"/>
    <mergeCell ref="A88:C88"/>
    <mergeCell ref="A78:C78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67:C67"/>
    <mergeCell ref="A68:C68"/>
    <mergeCell ref="A69:C69"/>
    <mergeCell ref="A71:C71"/>
    <mergeCell ref="A72:C72"/>
    <mergeCell ref="A60:C60"/>
    <mergeCell ref="A61:C61"/>
    <mergeCell ref="A62:C62"/>
    <mergeCell ref="A63:C63"/>
    <mergeCell ref="A64:C64"/>
    <mergeCell ref="A56:E56"/>
    <mergeCell ref="J56:K56"/>
    <mergeCell ref="A57:C57"/>
    <mergeCell ref="A58:C58"/>
    <mergeCell ref="A59:C59"/>
    <mergeCell ref="A49:C49"/>
    <mergeCell ref="A50:C50"/>
    <mergeCell ref="A51:C51"/>
    <mergeCell ref="A52:C52"/>
    <mergeCell ref="A53:C53"/>
    <mergeCell ref="A54:C54"/>
    <mergeCell ref="A44:C44"/>
    <mergeCell ref="A46:E46"/>
    <mergeCell ref="J46:K46"/>
    <mergeCell ref="A47:C47"/>
    <mergeCell ref="A48:C48"/>
    <mergeCell ref="A38:C38"/>
    <mergeCell ref="A39:C39"/>
    <mergeCell ref="A40:C40"/>
    <mergeCell ref="A41:C41"/>
    <mergeCell ref="A42:C42"/>
    <mergeCell ref="A43:C43"/>
    <mergeCell ref="A32:C32"/>
    <mergeCell ref="A33:C33"/>
    <mergeCell ref="A34:C34"/>
    <mergeCell ref="A36:E36"/>
    <mergeCell ref="J36:K36"/>
    <mergeCell ref="A37:C37"/>
    <mergeCell ref="A26:C26"/>
    <mergeCell ref="A27:C27"/>
    <mergeCell ref="A28:C28"/>
    <mergeCell ref="A29:C29"/>
    <mergeCell ref="A30:C30"/>
    <mergeCell ref="A31:C31"/>
    <mergeCell ref="A20:C20"/>
    <mergeCell ref="A21:C21"/>
    <mergeCell ref="A22:C22"/>
    <mergeCell ref="A23:C23"/>
    <mergeCell ref="A25:E25"/>
    <mergeCell ref="J25:K25"/>
    <mergeCell ref="A17:C17"/>
    <mergeCell ref="A18:C18"/>
    <mergeCell ref="A19:C19"/>
    <mergeCell ref="A7:C7"/>
    <mergeCell ref="A8:C8"/>
    <mergeCell ref="A9:C9"/>
    <mergeCell ref="A10:C10"/>
    <mergeCell ref="A11:C11"/>
    <mergeCell ref="A13:C13"/>
    <mergeCell ref="A2:E2"/>
    <mergeCell ref="J2:K2"/>
    <mergeCell ref="A3:C3"/>
    <mergeCell ref="A4:C4"/>
    <mergeCell ref="A5:C5"/>
    <mergeCell ref="A6:C6"/>
    <mergeCell ref="A15:C15"/>
    <mergeCell ref="J15:K15"/>
    <mergeCell ref="A16:C16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104"/>
  <sheetViews>
    <sheetView topLeftCell="A46" workbookViewId="0">
      <selection activeCell="A48" sqref="A48:M56"/>
    </sheetView>
  </sheetViews>
  <sheetFormatPr defaultRowHeight="15"/>
  <sheetData>
    <row r="1" spans="1:14" ht="15.75" thickBot="1"/>
    <row r="2" spans="1:14" ht="15.75" thickBot="1">
      <c r="A2" s="278" t="s">
        <v>127</v>
      </c>
      <c r="B2" s="279"/>
      <c r="C2" s="279"/>
      <c r="D2" s="178"/>
      <c r="E2" s="21"/>
      <c r="F2" s="137">
        <v>120</v>
      </c>
      <c r="G2" s="3"/>
      <c r="H2" s="3"/>
      <c r="I2" s="3"/>
      <c r="J2" s="285"/>
      <c r="K2" s="286"/>
      <c r="L2" s="3"/>
      <c r="M2" s="66">
        <v>194</v>
      </c>
    </row>
    <row r="3" spans="1:14" ht="15.75" thickBot="1">
      <c r="A3" s="277" t="s">
        <v>43</v>
      </c>
      <c r="B3" s="277"/>
      <c r="C3" s="277"/>
      <c r="D3" s="15">
        <v>50</v>
      </c>
      <c r="E3" s="15">
        <v>50</v>
      </c>
      <c r="F3" s="72"/>
      <c r="G3" s="3">
        <f>10/100*50</f>
        <v>5</v>
      </c>
      <c r="H3" s="3">
        <f>1/100*E3</f>
        <v>0.5</v>
      </c>
      <c r="I3" s="3">
        <f>71/100*50</f>
        <v>35.5</v>
      </c>
      <c r="J3" s="130">
        <f>340/100*50</f>
        <v>170</v>
      </c>
      <c r="K3" s="123"/>
      <c r="L3" s="3">
        <v>0</v>
      </c>
      <c r="M3" s="5"/>
      <c r="N3">
        <v>1</v>
      </c>
    </row>
    <row r="4" spans="1:14" ht="15.75" thickBot="1">
      <c r="A4" s="280" t="s">
        <v>23</v>
      </c>
      <c r="B4" s="281"/>
      <c r="C4" s="281"/>
      <c r="D4" s="15">
        <v>5</v>
      </c>
      <c r="E4" s="15">
        <v>5</v>
      </c>
      <c r="F4" s="73"/>
      <c r="G4" s="3">
        <f>0.4/100*5</f>
        <v>0.02</v>
      </c>
      <c r="H4" s="3">
        <f>78.5/100*5</f>
        <v>3.9250000000000003</v>
      </c>
      <c r="I4" s="3">
        <f>0.5/100*5</f>
        <v>2.5000000000000001E-2</v>
      </c>
      <c r="J4" s="130">
        <f>734/100*5</f>
        <v>36.700000000000003</v>
      </c>
      <c r="K4" s="123"/>
      <c r="L4" s="3">
        <f>0.6/100*5</f>
        <v>0.03</v>
      </c>
      <c r="M4" s="5"/>
    </row>
    <row r="5" spans="1:14" ht="15.75" thickBot="1">
      <c r="A5" s="277" t="s">
        <v>36</v>
      </c>
      <c r="B5" s="277"/>
      <c r="C5" s="277"/>
      <c r="D5" s="15">
        <v>2</v>
      </c>
      <c r="E5" s="15">
        <v>2</v>
      </c>
      <c r="F5" s="73"/>
      <c r="G5" s="3">
        <v>0</v>
      </c>
      <c r="H5" s="3">
        <f>99.9/100*5</f>
        <v>4.995000000000001</v>
      </c>
      <c r="I5" s="3">
        <v>0</v>
      </c>
      <c r="J5" s="17">
        <f>900/100*2</f>
        <v>18</v>
      </c>
      <c r="K5" s="127"/>
      <c r="L5" s="3">
        <v>0</v>
      </c>
      <c r="M5" s="5"/>
    </row>
    <row r="6" spans="1:14" ht="15.75" thickBot="1"/>
    <row r="7" spans="1:14" ht="15.75" thickBot="1">
      <c r="A7" s="278" t="s">
        <v>123</v>
      </c>
      <c r="B7" s="279"/>
      <c r="C7" s="279"/>
      <c r="D7" s="279"/>
      <c r="E7" s="298"/>
      <c r="F7" s="66">
        <v>150</v>
      </c>
      <c r="G7" s="3"/>
      <c r="H7" s="3"/>
      <c r="I7" s="3"/>
      <c r="J7" s="122"/>
      <c r="K7" s="123"/>
      <c r="L7" s="3"/>
      <c r="M7" s="5"/>
    </row>
    <row r="8" spans="1:14" ht="15.75" thickBot="1">
      <c r="A8" s="280" t="s">
        <v>87</v>
      </c>
      <c r="B8" s="283"/>
      <c r="C8" s="284"/>
      <c r="D8" s="15">
        <v>52</v>
      </c>
      <c r="E8" s="15">
        <v>52</v>
      </c>
      <c r="F8" s="120"/>
      <c r="G8" s="3">
        <f>12.6/100*52</f>
        <v>6.5519999999999996</v>
      </c>
      <c r="H8" s="3">
        <f>3.3/100*52</f>
        <v>1.7160000000000002</v>
      </c>
      <c r="I8" s="3">
        <f>60.7/100*52</f>
        <v>31.564</v>
      </c>
      <c r="J8" s="17">
        <f>335/100*52</f>
        <v>174.20000000000002</v>
      </c>
      <c r="K8" s="125"/>
      <c r="L8" s="3">
        <v>0</v>
      </c>
      <c r="M8" s="5"/>
      <c r="N8">
        <v>2</v>
      </c>
    </row>
    <row r="9" spans="1:14" ht="15.75" thickBot="1">
      <c r="A9" s="280" t="s">
        <v>23</v>
      </c>
      <c r="B9" s="281"/>
      <c r="C9" s="281"/>
      <c r="D9" s="15">
        <v>7</v>
      </c>
      <c r="E9" s="15">
        <v>7</v>
      </c>
      <c r="F9" s="3"/>
      <c r="G9" s="3">
        <f>0.4/100*7</f>
        <v>2.8000000000000001E-2</v>
      </c>
      <c r="H9" s="3">
        <f>78/100*7</f>
        <v>5.46</v>
      </c>
      <c r="I9" s="3">
        <f>0.5/100*7</f>
        <v>3.5000000000000003E-2</v>
      </c>
      <c r="J9" s="17">
        <f>734/100*7</f>
        <v>51.379999999999995</v>
      </c>
      <c r="K9" s="127"/>
      <c r="L9" s="3">
        <f>0.6/100*7</f>
        <v>4.2000000000000003E-2</v>
      </c>
      <c r="M9" s="5"/>
    </row>
    <row r="10" spans="1:14" ht="15.75" thickBot="1"/>
    <row r="11" spans="1:14" ht="15.75" thickBot="1">
      <c r="A11" s="278" t="s">
        <v>204</v>
      </c>
      <c r="B11" s="279"/>
      <c r="C11" s="279"/>
      <c r="D11" s="178"/>
      <c r="E11" s="21"/>
      <c r="F11" s="137">
        <v>200</v>
      </c>
      <c r="G11" s="3"/>
      <c r="H11" s="3"/>
      <c r="I11" s="3"/>
      <c r="J11" s="311"/>
      <c r="K11" s="312"/>
      <c r="L11" s="3"/>
      <c r="M11" s="66">
        <v>132</v>
      </c>
    </row>
    <row r="12" spans="1:14" ht="15.75" thickBot="1">
      <c r="A12" s="277" t="s">
        <v>53</v>
      </c>
      <c r="B12" s="277"/>
      <c r="C12" s="277"/>
      <c r="D12" s="15">
        <v>168</v>
      </c>
      <c r="E12" s="15">
        <v>108</v>
      </c>
      <c r="F12" s="73"/>
      <c r="G12" s="3">
        <f>1.2/100*108</f>
        <v>1.296</v>
      </c>
      <c r="H12" s="3">
        <v>0</v>
      </c>
      <c r="I12" s="3">
        <f>4.1/100*108</f>
        <v>4.427999999999999</v>
      </c>
      <c r="J12" s="130">
        <f>22/100*108</f>
        <v>23.76</v>
      </c>
      <c r="K12" s="131"/>
      <c r="L12" s="3">
        <f>24/100*108</f>
        <v>25.919999999999998</v>
      </c>
      <c r="M12" s="5"/>
    </row>
    <row r="13" spans="1:14" ht="15.75" thickBot="1">
      <c r="A13" s="322" t="s">
        <v>28</v>
      </c>
      <c r="B13" s="283"/>
      <c r="C13" s="284"/>
      <c r="D13" s="15">
        <v>40</v>
      </c>
      <c r="E13" s="15">
        <v>40</v>
      </c>
      <c r="F13" s="66"/>
      <c r="G13" s="3">
        <f>18.9/100*40</f>
        <v>7.5599999999999987</v>
      </c>
      <c r="H13" s="3">
        <f>12.4/100*40</f>
        <v>4.96</v>
      </c>
      <c r="I13" s="3">
        <v>0</v>
      </c>
      <c r="J13" s="130">
        <f>187/100*40</f>
        <v>74.800000000000011</v>
      </c>
      <c r="K13" s="131"/>
      <c r="L13" s="3">
        <v>0</v>
      </c>
      <c r="M13" s="5"/>
    </row>
    <row r="14" spans="1:14" ht="15.75" thickBot="1">
      <c r="A14" s="277" t="s">
        <v>54</v>
      </c>
      <c r="B14" s="277"/>
      <c r="C14" s="277"/>
      <c r="D14" s="15">
        <v>12</v>
      </c>
      <c r="E14" s="15">
        <v>10</v>
      </c>
      <c r="F14" s="4"/>
      <c r="G14" s="3">
        <f>0.2/100*10</f>
        <v>0.02</v>
      </c>
      <c r="H14" s="3">
        <v>0</v>
      </c>
      <c r="I14" s="3">
        <f>10/100*10</f>
        <v>1</v>
      </c>
      <c r="J14" s="130">
        <f>42/100*10</f>
        <v>4.2</v>
      </c>
      <c r="K14" s="131"/>
      <c r="L14" s="3">
        <f>8.5/100*10</f>
        <v>0.85000000000000009</v>
      </c>
      <c r="M14" s="5"/>
    </row>
    <row r="15" spans="1:14" ht="15.75" thickBot="1">
      <c r="A15" s="280" t="s">
        <v>55</v>
      </c>
      <c r="B15" s="281"/>
      <c r="C15" s="281"/>
      <c r="D15" s="15">
        <v>16</v>
      </c>
      <c r="E15" s="15">
        <v>10</v>
      </c>
      <c r="F15" s="4"/>
      <c r="G15" s="3">
        <f>1/100*10</f>
        <v>0.1</v>
      </c>
      <c r="H15" s="3">
        <v>0</v>
      </c>
      <c r="I15" s="3">
        <f>6.1/100*10</f>
        <v>0.61</v>
      </c>
      <c r="J15" s="130">
        <f>29/100*10</f>
        <v>2.9</v>
      </c>
      <c r="K15" s="131"/>
      <c r="L15" s="3">
        <f>4/100*10</f>
        <v>0.4</v>
      </c>
      <c r="M15" s="5"/>
      <c r="N15">
        <v>3</v>
      </c>
    </row>
    <row r="16" spans="1:14" ht="15.75" thickBot="1">
      <c r="A16" s="280" t="s">
        <v>48</v>
      </c>
      <c r="B16" s="283"/>
      <c r="C16" s="284"/>
      <c r="D16" s="15">
        <v>3</v>
      </c>
      <c r="E16" s="15">
        <v>3</v>
      </c>
      <c r="F16" s="68"/>
      <c r="G16" s="3">
        <f>0.4/100*3</f>
        <v>1.2E-2</v>
      </c>
      <c r="H16" s="3">
        <f>78.5/100*3</f>
        <v>2.355</v>
      </c>
      <c r="I16" s="3">
        <f>0.5/100*3</f>
        <v>1.4999999999999999E-2</v>
      </c>
      <c r="J16" s="17">
        <f>734/100*3</f>
        <v>22.02</v>
      </c>
      <c r="K16" s="18"/>
      <c r="L16" s="3">
        <v>0</v>
      </c>
      <c r="M16" s="5"/>
    </row>
    <row r="17" spans="1:14" ht="15.75" thickBot="1">
      <c r="A17" s="277" t="s">
        <v>60</v>
      </c>
      <c r="B17" s="277"/>
      <c r="C17" s="277"/>
      <c r="D17" s="15">
        <v>3</v>
      </c>
      <c r="E17" s="15">
        <v>3</v>
      </c>
      <c r="F17" s="4"/>
      <c r="G17" s="1">
        <v>0</v>
      </c>
      <c r="H17" s="1">
        <f>99.9/100*3</f>
        <v>2.9970000000000003</v>
      </c>
      <c r="I17" s="1">
        <v>0</v>
      </c>
      <c r="J17" s="17">
        <f>900/100*3</f>
        <v>27</v>
      </c>
      <c r="K17" s="18"/>
      <c r="L17" s="1">
        <v>0</v>
      </c>
      <c r="M17" s="5"/>
    </row>
    <row r="18" spans="1:14" ht="15.75" thickBot="1">
      <c r="A18" s="280" t="s">
        <v>78</v>
      </c>
      <c r="B18" s="283"/>
      <c r="C18" s="284"/>
      <c r="D18" s="15">
        <v>4</v>
      </c>
      <c r="E18" s="15">
        <v>4</v>
      </c>
      <c r="F18" s="68"/>
      <c r="G18" s="3">
        <f>2.2/100*4</f>
        <v>8.8000000000000009E-2</v>
      </c>
      <c r="H18" s="3">
        <v>0</v>
      </c>
      <c r="I18" s="3">
        <f>15.8/100*4</f>
        <v>0.63200000000000001</v>
      </c>
      <c r="J18" s="130">
        <f>63.2/100*4</f>
        <v>2.528</v>
      </c>
      <c r="K18" s="131"/>
      <c r="L18" s="3">
        <f>26/100*4</f>
        <v>1.04</v>
      </c>
      <c r="M18" s="5"/>
    </row>
    <row r="19" spans="1:14" ht="15.75" thickBot="1">
      <c r="A19" s="277" t="s">
        <v>72</v>
      </c>
      <c r="B19" s="277"/>
      <c r="C19" s="277"/>
      <c r="D19" s="15">
        <v>6</v>
      </c>
      <c r="E19" s="15">
        <v>5.6</v>
      </c>
      <c r="F19" s="4"/>
      <c r="G19" s="3">
        <f>2.6/100*5.6</f>
        <v>0.14560000000000001</v>
      </c>
      <c r="H19" s="3">
        <v>0</v>
      </c>
      <c r="I19" s="3">
        <f>6.5/100*5.6</f>
        <v>0.36399999999999999</v>
      </c>
      <c r="J19" s="17">
        <f>37/100*5.6</f>
        <v>2.0720000000000001</v>
      </c>
      <c r="K19" s="18"/>
      <c r="L19" s="3">
        <f>126/100*5.6</f>
        <v>7.0559999999999992</v>
      </c>
      <c r="M19" s="120"/>
    </row>
    <row r="20" spans="1:14" ht="15.75" thickBot="1"/>
    <row r="21" spans="1:14" ht="15.75" thickBot="1">
      <c r="A21" s="278" t="s">
        <v>138</v>
      </c>
      <c r="B21" s="279"/>
      <c r="C21" s="279"/>
      <c r="D21" s="164"/>
      <c r="E21" s="165"/>
      <c r="F21" s="66">
        <v>200</v>
      </c>
      <c r="G21" s="4"/>
      <c r="H21" s="4"/>
      <c r="I21" s="4"/>
      <c r="J21" s="122"/>
      <c r="K21" s="123"/>
      <c r="L21" s="4"/>
      <c r="M21" s="68"/>
    </row>
    <row r="22" spans="1:14" ht="15.75" thickBot="1">
      <c r="A22" s="280" t="s">
        <v>69</v>
      </c>
      <c r="B22" s="283"/>
      <c r="C22" s="284"/>
      <c r="D22" s="120">
        <v>60</v>
      </c>
      <c r="E22" s="120">
        <v>60</v>
      </c>
      <c r="F22" s="4"/>
      <c r="G22" s="4">
        <f>18.9/100*60</f>
        <v>11.339999999999998</v>
      </c>
      <c r="H22" s="4">
        <f>12.4/100*60</f>
        <v>7.4399999999999995</v>
      </c>
      <c r="I22" s="4">
        <v>0</v>
      </c>
      <c r="J22" s="17">
        <f>187/100*60</f>
        <v>112.2</v>
      </c>
      <c r="K22" s="127"/>
      <c r="L22" s="4">
        <v>0</v>
      </c>
      <c r="M22" s="68"/>
    </row>
    <row r="23" spans="1:14" ht="15.75" thickBot="1">
      <c r="A23" s="280" t="s">
        <v>64</v>
      </c>
      <c r="B23" s="281"/>
      <c r="C23" s="281"/>
      <c r="D23" s="120">
        <v>52</v>
      </c>
      <c r="E23" s="120">
        <v>52</v>
      </c>
      <c r="F23" s="68"/>
      <c r="G23" s="4">
        <f>7/100*52</f>
        <v>3.6400000000000006</v>
      </c>
      <c r="H23" s="4">
        <f>1/100*52</f>
        <v>0.52</v>
      </c>
      <c r="I23" s="126">
        <f>74/100*52</f>
        <v>38.479999999999997</v>
      </c>
      <c r="J23" s="17">
        <f>330/100*52</f>
        <v>171.6</v>
      </c>
      <c r="K23" s="127"/>
      <c r="L23" s="4">
        <v>0</v>
      </c>
      <c r="M23" s="68"/>
    </row>
    <row r="24" spans="1:14" ht="15.75" thickBot="1">
      <c r="A24" s="280" t="s">
        <v>55</v>
      </c>
      <c r="B24" s="283"/>
      <c r="C24" s="284"/>
      <c r="D24" s="120">
        <v>16</v>
      </c>
      <c r="E24" s="120">
        <v>10</v>
      </c>
      <c r="F24" s="68"/>
      <c r="G24" s="4">
        <f>1/100*10</f>
        <v>0.1</v>
      </c>
      <c r="H24" s="4">
        <v>0</v>
      </c>
      <c r="I24" s="4">
        <f>6.1/100*10</f>
        <v>0.61</v>
      </c>
      <c r="J24" s="130">
        <f>29/100*10</f>
        <v>2.9</v>
      </c>
      <c r="K24" s="123"/>
      <c r="L24" s="4">
        <f>4/100*10</f>
        <v>0.4</v>
      </c>
      <c r="M24" s="68"/>
    </row>
    <row r="25" spans="1:14" ht="15.75" thickBot="1">
      <c r="A25" s="277" t="s">
        <v>54</v>
      </c>
      <c r="B25" s="277"/>
      <c r="C25" s="277"/>
      <c r="D25" s="120">
        <v>12</v>
      </c>
      <c r="E25" s="120">
        <v>10</v>
      </c>
      <c r="F25" s="4"/>
      <c r="G25" s="4">
        <f>0.2/100*10</f>
        <v>0.02</v>
      </c>
      <c r="H25" s="4">
        <v>0</v>
      </c>
      <c r="I25" s="4">
        <f>10/100*10</f>
        <v>1</v>
      </c>
      <c r="J25" s="130">
        <f>42/100*10</f>
        <v>4.2</v>
      </c>
      <c r="K25" s="123"/>
      <c r="L25" s="4">
        <f>8.5/100*10</f>
        <v>0.85000000000000009</v>
      </c>
      <c r="M25" s="68"/>
      <c r="N25">
        <v>4</v>
      </c>
    </row>
    <row r="26" spans="1:14" ht="15.75" thickBot="1">
      <c r="A26" s="23"/>
      <c r="B26" s="119" t="s">
        <v>48</v>
      </c>
      <c r="C26" s="129"/>
      <c r="D26" s="120">
        <v>3</v>
      </c>
      <c r="E26" s="120">
        <v>3</v>
      </c>
      <c r="F26" s="68"/>
      <c r="G26" s="4">
        <f>0.4/100*3</f>
        <v>1.2E-2</v>
      </c>
      <c r="H26" s="4">
        <f>78.5/100*3</f>
        <v>2.355</v>
      </c>
      <c r="I26" s="4">
        <f>0.5/100*3</f>
        <v>1.4999999999999999E-2</v>
      </c>
      <c r="J26" s="17">
        <f>734/100*3</f>
        <v>22.02</v>
      </c>
      <c r="K26" s="18"/>
      <c r="L26" s="4">
        <v>0</v>
      </c>
      <c r="M26" s="68"/>
    </row>
    <row r="27" spans="1:14" ht="15.75" thickBot="1">
      <c r="A27" s="277" t="s">
        <v>60</v>
      </c>
      <c r="B27" s="277"/>
      <c r="C27" s="277"/>
      <c r="D27" s="120">
        <v>3</v>
      </c>
      <c r="E27" s="120">
        <v>3</v>
      </c>
      <c r="F27" s="4"/>
      <c r="G27" s="120">
        <v>0</v>
      </c>
      <c r="H27" s="120">
        <f>99.9/100*3</f>
        <v>2.9970000000000003</v>
      </c>
      <c r="I27" s="120">
        <v>0</v>
      </c>
      <c r="J27" s="17">
        <f>900/100*3</f>
        <v>27</v>
      </c>
      <c r="K27" s="18"/>
      <c r="L27" s="120">
        <v>0</v>
      </c>
      <c r="M27" s="68"/>
    </row>
    <row r="28" spans="1:14" ht="15.75" thickBot="1">
      <c r="F28" s="27"/>
    </row>
    <row r="29" spans="1:14" ht="15.75" thickBot="1">
      <c r="A29" s="278" t="s">
        <v>156</v>
      </c>
      <c r="B29" s="279"/>
      <c r="C29" s="279"/>
      <c r="D29" s="279"/>
      <c r="E29" s="298"/>
      <c r="F29" s="66">
        <v>200</v>
      </c>
      <c r="G29" s="3"/>
      <c r="H29" s="3"/>
      <c r="I29" s="3"/>
      <c r="J29" s="122"/>
      <c r="K29" s="123"/>
      <c r="L29" s="3"/>
      <c r="M29" s="5"/>
    </row>
    <row r="30" spans="1:14" ht="15.75" thickBot="1">
      <c r="A30" s="277" t="s">
        <v>52</v>
      </c>
      <c r="B30" s="277"/>
      <c r="C30" s="277"/>
      <c r="D30" s="15">
        <v>150</v>
      </c>
      <c r="E30" s="15">
        <v>100</v>
      </c>
      <c r="F30" s="3"/>
      <c r="G30" s="3">
        <f>1.2/100*150</f>
        <v>1.8</v>
      </c>
      <c r="H30" s="3">
        <v>0</v>
      </c>
      <c r="I30" s="3">
        <f>14/100*150</f>
        <v>21.000000000000004</v>
      </c>
      <c r="J30" s="130">
        <f>62/100*150</f>
        <v>93</v>
      </c>
      <c r="K30" s="123"/>
      <c r="L30" s="3">
        <f>7.5/100*150</f>
        <v>11.25</v>
      </c>
      <c r="M30" s="5"/>
    </row>
    <row r="31" spans="1:14" ht="15.75" thickBot="1">
      <c r="A31" s="280" t="s">
        <v>46</v>
      </c>
      <c r="B31" s="281"/>
      <c r="C31" s="281"/>
      <c r="D31" s="15">
        <v>20</v>
      </c>
      <c r="E31" s="15">
        <v>20</v>
      </c>
      <c r="F31" s="3"/>
      <c r="G31" s="3">
        <f>2.8/100*20</f>
        <v>0.55999999999999994</v>
      </c>
      <c r="H31" s="3">
        <f>2.5/100*20</f>
        <v>0.5</v>
      </c>
      <c r="I31" s="3">
        <f>4.7/100*20</f>
        <v>0.94</v>
      </c>
      <c r="J31" s="130">
        <f>55/100*20</f>
        <v>11</v>
      </c>
      <c r="K31" s="123"/>
      <c r="L31" s="3">
        <f>1/100*20</f>
        <v>0.2</v>
      </c>
      <c r="M31" s="5"/>
    </row>
    <row r="32" spans="1:14" ht="15.75" thickBot="1">
      <c r="A32" s="322" t="s">
        <v>48</v>
      </c>
      <c r="B32" s="283"/>
      <c r="C32" s="284"/>
      <c r="D32" s="15">
        <v>7</v>
      </c>
      <c r="E32" s="15">
        <v>7</v>
      </c>
      <c r="F32" s="5"/>
      <c r="G32" s="3">
        <f>0.4/100*7</f>
        <v>2.8000000000000001E-2</v>
      </c>
      <c r="H32" s="3">
        <f>78.5/100*7</f>
        <v>5.4950000000000001</v>
      </c>
      <c r="I32" s="3">
        <f>0.5/100*7</f>
        <v>3.5000000000000003E-2</v>
      </c>
      <c r="J32" s="130">
        <f>734/100*7</f>
        <v>51.379999999999995</v>
      </c>
      <c r="K32" s="123"/>
      <c r="L32" s="3">
        <f>0.6/100*7</f>
        <v>4.2000000000000003E-2</v>
      </c>
      <c r="M32" s="5"/>
    </row>
    <row r="33" spans="1:14" ht="15.75" thickBot="1">
      <c r="A33" s="277" t="s">
        <v>53</v>
      </c>
      <c r="B33" s="277"/>
      <c r="C33" s="277"/>
      <c r="D33" s="15">
        <v>130</v>
      </c>
      <c r="E33" s="15">
        <v>100</v>
      </c>
      <c r="F33" s="3"/>
      <c r="G33" s="3">
        <f>1.2/100*130</f>
        <v>1.56</v>
      </c>
      <c r="H33" s="3">
        <v>0</v>
      </c>
      <c r="I33" s="3">
        <f>4.1/100*130</f>
        <v>5.3299999999999992</v>
      </c>
      <c r="J33" s="130">
        <f>22/100*130</f>
        <v>28.6</v>
      </c>
      <c r="K33" s="123"/>
      <c r="L33" s="3">
        <f>24/100*130</f>
        <v>31.2</v>
      </c>
      <c r="M33" s="5"/>
      <c r="N33">
        <v>5</v>
      </c>
    </row>
    <row r="34" spans="1:14" ht="15.75" thickBot="1">
      <c r="A34" s="277" t="s">
        <v>54</v>
      </c>
      <c r="B34" s="277"/>
      <c r="C34" s="277"/>
      <c r="D34" s="15">
        <v>7</v>
      </c>
      <c r="E34" s="15">
        <v>7</v>
      </c>
      <c r="F34" s="3"/>
      <c r="G34" s="3">
        <f>0.2/100*7</f>
        <v>1.4E-2</v>
      </c>
      <c r="H34" s="3">
        <v>0</v>
      </c>
      <c r="I34" s="3">
        <f>10/100*7</f>
        <v>0.70000000000000007</v>
      </c>
      <c r="J34" s="130">
        <f>42/100*7</f>
        <v>2.94</v>
      </c>
      <c r="K34" s="123"/>
      <c r="L34" s="3">
        <f>8.4/100*7</f>
        <v>0.58800000000000008</v>
      </c>
      <c r="M34" s="5"/>
    </row>
    <row r="35" spans="1:14" ht="15.75" thickBot="1">
      <c r="A35" s="277" t="s">
        <v>55</v>
      </c>
      <c r="B35" s="277"/>
      <c r="C35" s="277"/>
      <c r="D35" s="15">
        <v>7</v>
      </c>
      <c r="E35" s="15">
        <v>7</v>
      </c>
      <c r="F35" s="3"/>
      <c r="G35" s="3">
        <f>1/100*7</f>
        <v>7.0000000000000007E-2</v>
      </c>
      <c r="H35" s="3">
        <v>0</v>
      </c>
      <c r="I35" s="3">
        <f>6.1/100*7</f>
        <v>0.42699999999999999</v>
      </c>
      <c r="J35" s="130">
        <f>29/100*7</f>
        <v>2.0299999999999998</v>
      </c>
      <c r="K35" s="123"/>
      <c r="L35" s="3">
        <f>4/100*7</f>
        <v>0.28000000000000003</v>
      </c>
      <c r="M35" s="5"/>
    </row>
    <row r="36" spans="1:14" ht="15.75" thickBot="1">
      <c r="A36" s="322" t="s">
        <v>28</v>
      </c>
      <c r="B36" s="283"/>
      <c r="C36" s="284"/>
      <c r="D36" s="15">
        <v>60</v>
      </c>
      <c r="E36" s="15">
        <v>60</v>
      </c>
      <c r="F36" s="5"/>
      <c r="G36" s="3">
        <f>18.9/100*60</f>
        <v>11.339999999999998</v>
      </c>
      <c r="H36" s="3">
        <f>12.4/100*60</f>
        <v>7.4399999999999995</v>
      </c>
      <c r="I36" s="3">
        <v>0</v>
      </c>
      <c r="J36" s="17">
        <f>187/100*60</f>
        <v>112.2</v>
      </c>
      <c r="K36" s="18"/>
      <c r="L36" s="3">
        <v>0</v>
      </c>
      <c r="M36" s="5"/>
    </row>
    <row r="37" spans="1:14" ht="15.75" thickBot="1"/>
    <row r="38" spans="1:14" ht="15.75" thickBot="1">
      <c r="A38" s="278" t="s">
        <v>142</v>
      </c>
      <c r="B38" s="279"/>
      <c r="C38" s="279"/>
      <c r="D38" s="178"/>
      <c r="E38" s="21"/>
      <c r="F38" s="137">
        <v>150</v>
      </c>
      <c r="G38" s="3"/>
      <c r="H38" s="3"/>
      <c r="I38" s="3"/>
      <c r="J38" s="122"/>
      <c r="K38" s="123"/>
      <c r="L38" s="3"/>
      <c r="M38" s="5"/>
    </row>
    <row r="39" spans="1:14" ht="15.75" thickBot="1">
      <c r="A39" s="277" t="s">
        <v>33</v>
      </c>
      <c r="B39" s="277"/>
      <c r="C39" s="277"/>
      <c r="D39" s="120">
        <v>220</v>
      </c>
      <c r="E39" s="120">
        <v>150</v>
      </c>
      <c r="F39" s="73"/>
      <c r="G39" s="4">
        <f>1.2/100*150</f>
        <v>1.8</v>
      </c>
      <c r="H39" s="4">
        <v>0</v>
      </c>
      <c r="I39" s="4">
        <f>14/100*150</f>
        <v>21.000000000000004</v>
      </c>
      <c r="J39" s="130">
        <f>62/100*150</f>
        <v>93</v>
      </c>
      <c r="K39" s="123"/>
      <c r="L39" s="4">
        <f>7.5/100*150</f>
        <v>11.25</v>
      </c>
      <c r="M39" s="68"/>
      <c r="N39">
        <v>6</v>
      </c>
    </row>
    <row r="40" spans="1:14" ht="15.75" thickBot="1">
      <c r="A40" s="280" t="s">
        <v>48</v>
      </c>
      <c r="B40" s="281"/>
      <c r="C40" s="282"/>
      <c r="D40" s="120">
        <v>7</v>
      </c>
      <c r="E40" s="120">
        <v>7</v>
      </c>
      <c r="F40" s="73"/>
      <c r="G40" s="4">
        <f>0.4/100*7</f>
        <v>2.8000000000000001E-2</v>
      </c>
      <c r="H40" s="4">
        <f>78.5/100*7</f>
        <v>5.4950000000000001</v>
      </c>
      <c r="I40" s="4">
        <f>0.5/100*7</f>
        <v>3.5000000000000003E-2</v>
      </c>
      <c r="J40" s="130">
        <f>734/100*7</f>
        <v>51.379999999999995</v>
      </c>
      <c r="K40" s="123"/>
      <c r="L40" s="4">
        <f>0.6/100*7</f>
        <v>4.2000000000000003E-2</v>
      </c>
      <c r="M40" s="68"/>
    </row>
    <row r="41" spans="1:14" ht="15.75" thickBot="1">
      <c r="A41" s="280" t="s">
        <v>46</v>
      </c>
      <c r="B41" s="281"/>
      <c r="C41" s="281"/>
      <c r="D41" s="120">
        <v>20</v>
      </c>
      <c r="E41" s="120">
        <v>20</v>
      </c>
      <c r="F41" s="65"/>
      <c r="G41" s="120">
        <f>2.8/100*20</f>
        <v>0.55999999999999994</v>
      </c>
      <c r="H41" s="120">
        <f>2.5/100*20</f>
        <v>0.5</v>
      </c>
      <c r="I41" s="120">
        <f>4.7/100*20</f>
        <v>0.94</v>
      </c>
      <c r="J41" s="132">
        <f>55/100*20</f>
        <v>11</v>
      </c>
      <c r="K41" s="121"/>
      <c r="L41" s="120">
        <f>1/100*20</f>
        <v>0.2</v>
      </c>
      <c r="M41" s="120"/>
    </row>
    <row r="42" spans="1:14" ht="15.75" thickBot="1">
      <c r="F42" s="46"/>
    </row>
    <row r="43" spans="1:14" ht="15.75" thickBot="1">
      <c r="A43" s="278" t="s">
        <v>148</v>
      </c>
      <c r="B43" s="279"/>
      <c r="C43" s="279"/>
      <c r="D43" s="164"/>
      <c r="E43" s="165"/>
      <c r="F43" s="137">
        <v>100</v>
      </c>
      <c r="G43" s="4"/>
      <c r="H43" s="4"/>
      <c r="I43" s="4"/>
      <c r="J43" s="285"/>
      <c r="K43" s="286"/>
      <c r="L43" s="4"/>
      <c r="M43" s="68"/>
    </row>
    <row r="44" spans="1:14" ht="15.75" thickBot="1">
      <c r="A44" s="280" t="s">
        <v>48</v>
      </c>
      <c r="B44" s="281"/>
      <c r="C44" s="281"/>
      <c r="D44" s="120">
        <v>3</v>
      </c>
      <c r="E44" s="120">
        <v>3</v>
      </c>
      <c r="F44" s="73"/>
      <c r="G44" s="4">
        <f>0.4/100*3</f>
        <v>1.2E-2</v>
      </c>
      <c r="H44" s="4">
        <f>78.5/100*3</f>
        <v>2.355</v>
      </c>
      <c r="I44" s="4">
        <f>0.5/100*3</f>
        <v>1.4999999999999999E-2</v>
      </c>
      <c r="J44" s="17">
        <f>734/100*3</f>
        <v>22.02</v>
      </c>
      <c r="K44" s="127"/>
      <c r="L44" s="4">
        <v>0</v>
      </c>
      <c r="M44" s="68"/>
      <c r="N44">
        <v>7</v>
      </c>
    </row>
    <row r="45" spans="1:14" ht="15.75" thickBot="1">
      <c r="A45" s="277" t="s">
        <v>50</v>
      </c>
      <c r="B45" s="277"/>
      <c r="C45" s="277"/>
      <c r="D45" s="120">
        <v>60</v>
      </c>
      <c r="E45" s="120">
        <v>60</v>
      </c>
      <c r="F45" s="73"/>
      <c r="G45" s="4">
        <f>12.7/100*60</f>
        <v>7.62</v>
      </c>
      <c r="H45" s="4">
        <f>11.5/100*60</f>
        <v>6.9</v>
      </c>
      <c r="I45" s="4">
        <f>0.7/100*60</f>
        <v>0.41999999999999993</v>
      </c>
      <c r="J45" s="130">
        <f>241/100*60</f>
        <v>144.60000000000002</v>
      </c>
      <c r="K45" s="123"/>
      <c r="L45" s="4">
        <v>0</v>
      </c>
      <c r="M45" s="68"/>
    </row>
    <row r="46" spans="1:14" ht="15.75" thickBot="1">
      <c r="A46" s="280" t="s">
        <v>46</v>
      </c>
      <c r="B46" s="281"/>
      <c r="C46" s="281"/>
      <c r="D46" s="120">
        <v>60</v>
      </c>
      <c r="E46" s="120">
        <v>60</v>
      </c>
      <c r="F46" s="65"/>
      <c r="G46" s="120">
        <f>2.8/100*60</f>
        <v>1.6799999999999997</v>
      </c>
      <c r="H46" s="120">
        <f>22.5/100*60</f>
        <v>13.5</v>
      </c>
      <c r="I46" s="120">
        <f>4.7/100*60</f>
        <v>2.82</v>
      </c>
      <c r="J46" s="132">
        <f>55/100*60</f>
        <v>33</v>
      </c>
      <c r="K46" s="121"/>
      <c r="L46" s="120">
        <f>1/100*60</f>
        <v>0.6</v>
      </c>
      <c r="M46" s="120"/>
    </row>
    <row r="47" spans="1:14" ht="15.75" thickBot="1">
      <c r="F47" s="46"/>
    </row>
    <row r="48" spans="1:14" ht="15.75" thickBot="1">
      <c r="A48" s="278" t="s">
        <v>247</v>
      </c>
      <c r="B48" s="279"/>
      <c r="C48" s="298"/>
      <c r="D48" s="15"/>
      <c r="E48" s="15"/>
      <c r="F48" s="137">
        <v>200</v>
      </c>
      <c r="G48" s="3"/>
      <c r="H48" s="3"/>
      <c r="I48" s="3"/>
      <c r="J48" s="285"/>
      <c r="K48" s="286"/>
      <c r="L48" s="3"/>
      <c r="M48" s="5"/>
    </row>
    <row r="49" spans="1:14" ht="15.75" thickBot="1">
      <c r="A49" s="277" t="s">
        <v>248</v>
      </c>
      <c r="B49" s="277"/>
      <c r="C49" s="277"/>
      <c r="D49" s="15">
        <v>20</v>
      </c>
      <c r="E49" s="15">
        <v>20</v>
      </c>
      <c r="F49" s="73"/>
      <c r="G49" s="3">
        <f>15/100*E49</f>
        <v>3</v>
      </c>
      <c r="H49" s="3">
        <f>17/100*E49</f>
        <v>3.4000000000000004</v>
      </c>
      <c r="I49" s="3">
        <f>0</f>
        <v>0</v>
      </c>
      <c r="J49" s="17">
        <f>213/100*E49</f>
        <v>42.599999999999994</v>
      </c>
      <c r="K49" s="127"/>
      <c r="L49" s="221">
        <v>0</v>
      </c>
      <c r="M49" s="5"/>
    </row>
    <row r="50" spans="1:14" ht="15.75" thickBot="1">
      <c r="A50" s="280" t="s">
        <v>52</v>
      </c>
      <c r="B50" s="281"/>
      <c r="C50" s="281"/>
      <c r="D50" s="15">
        <v>200</v>
      </c>
      <c r="E50" s="15">
        <v>170</v>
      </c>
      <c r="F50" s="73"/>
      <c r="G50" s="3">
        <f>1.2/100*170</f>
        <v>2.04</v>
      </c>
      <c r="H50" s="3">
        <v>0</v>
      </c>
      <c r="I50" s="3">
        <f>14/100*170</f>
        <v>23.8</v>
      </c>
      <c r="J50" s="17">
        <f>62/100*170</f>
        <v>105.4</v>
      </c>
      <c r="K50" s="18"/>
      <c r="L50" s="3">
        <f>7.5/100*170</f>
        <v>12.75</v>
      </c>
      <c r="M50" s="5"/>
    </row>
    <row r="51" spans="1:14" ht="15.75" thickBot="1">
      <c r="A51" s="277" t="s">
        <v>54</v>
      </c>
      <c r="B51" s="277"/>
      <c r="C51" s="277"/>
      <c r="D51" s="15">
        <v>7</v>
      </c>
      <c r="E51" s="15">
        <v>5</v>
      </c>
      <c r="F51" s="73"/>
      <c r="G51" s="3">
        <f>0.2/100*5</f>
        <v>0.01</v>
      </c>
      <c r="H51" s="3">
        <v>0</v>
      </c>
      <c r="I51" s="3">
        <f>10/100*5</f>
        <v>0.5</v>
      </c>
      <c r="J51" s="130">
        <f>42/100*5</f>
        <v>2.1</v>
      </c>
      <c r="K51" s="123"/>
      <c r="L51" s="3">
        <f>8.5/100*5</f>
        <v>0.42500000000000004</v>
      </c>
      <c r="M51" s="5"/>
    </row>
    <row r="52" spans="1:14" ht="15.75" thickBot="1">
      <c r="A52" s="280" t="s">
        <v>55</v>
      </c>
      <c r="B52" s="281"/>
      <c r="C52" s="281"/>
      <c r="D52" s="15">
        <v>7</v>
      </c>
      <c r="E52" s="15">
        <v>5</v>
      </c>
      <c r="F52" s="73"/>
      <c r="G52" s="3">
        <f>1/100*5</f>
        <v>0.05</v>
      </c>
      <c r="H52" s="3">
        <v>0</v>
      </c>
      <c r="I52" s="3">
        <f>6.1/100*5</f>
        <v>0.30499999999999999</v>
      </c>
      <c r="J52" s="130">
        <f>29/100*5</f>
        <v>1.45</v>
      </c>
      <c r="K52" s="123"/>
      <c r="L52" s="3">
        <f>4/100*5</f>
        <v>0.2</v>
      </c>
      <c r="M52" s="5"/>
      <c r="N52">
        <v>8</v>
      </c>
    </row>
    <row r="53" spans="1:14" ht="15.75" thickBot="1">
      <c r="A53" s="280" t="s">
        <v>48</v>
      </c>
      <c r="B53" s="283"/>
      <c r="C53" s="284"/>
      <c r="D53" s="15">
        <v>3</v>
      </c>
      <c r="E53" s="15">
        <v>3</v>
      </c>
      <c r="F53" s="66"/>
      <c r="G53" s="3">
        <f>0.4/100*3</f>
        <v>1.2E-2</v>
      </c>
      <c r="H53" s="3">
        <f>78.5/100*3</f>
        <v>2.355</v>
      </c>
      <c r="I53" s="3">
        <f>0.5/100*3</f>
        <v>1.4999999999999999E-2</v>
      </c>
      <c r="J53" s="17">
        <f>734/100*3</f>
        <v>22.02</v>
      </c>
      <c r="K53" s="18"/>
      <c r="L53" s="3">
        <v>0</v>
      </c>
      <c r="M53" s="5"/>
    </row>
    <row r="54" spans="1:14" ht="15.75" thickBot="1">
      <c r="A54" s="277" t="s">
        <v>60</v>
      </c>
      <c r="B54" s="277"/>
      <c r="C54" s="277"/>
      <c r="D54" s="15">
        <v>3</v>
      </c>
      <c r="E54" s="15">
        <v>3</v>
      </c>
      <c r="F54" s="73"/>
      <c r="G54" s="1">
        <v>0</v>
      </c>
      <c r="H54" s="1">
        <f>99.9/100*3</f>
        <v>2.9970000000000003</v>
      </c>
      <c r="I54" s="1">
        <v>0</v>
      </c>
      <c r="J54" s="17">
        <f>900/100*3</f>
        <v>27</v>
      </c>
      <c r="K54" s="18"/>
      <c r="L54" s="1">
        <v>0</v>
      </c>
      <c r="M54" s="5"/>
    </row>
    <row r="55" spans="1:14" ht="15.75" thickBot="1">
      <c r="A55" s="277" t="s">
        <v>63</v>
      </c>
      <c r="B55" s="277"/>
      <c r="C55" s="277"/>
      <c r="D55" s="15">
        <v>8</v>
      </c>
      <c r="E55" s="15">
        <v>8</v>
      </c>
      <c r="F55" s="73"/>
      <c r="G55" s="3">
        <f>2.6/100*8</f>
        <v>0.20800000000000002</v>
      </c>
      <c r="H55" s="3">
        <f>15/100*8</f>
        <v>1.2</v>
      </c>
      <c r="I55" s="3">
        <f>3.6/100*8</f>
        <v>0.28800000000000003</v>
      </c>
      <c r="J55" s="17">
        <f>160/100*8</f>
        <v>12.8</v>
      </c>
      <c r="K55" s="127"/>
      <c r="L55" s="3">
        <v>0</v>
      </c>
      <c r="M55" s="5"/>
    </row>
    <row r="56" spans="1:14" ht="15.75" thickBot="1">
      <c r="A56" s="277" t="s">
        <v>72</v>
      </c>
      <c r="B56" s="277"/>
      <c r="C56" s="277"/>
      <c r="D56" s="15">
        <v>6</v>
      </c>
      <c r="E56" s="15">
        <v>5.6</v>
      </c>
      <c r="F56" s="73"/>
      <c r="G56" s="3">
        <f>2.6/100*5.6</f>
        <v>0.14560000000000001</v>
      </c>
      <c r="H56" s="3">
        <v>0</v>
      </c>
      <c r="I56" s="3">
        <f>6.5/100*5.6</f>
        <v>0.36399999999999999</v>
      </c>
      <c r="J56" s="17">
        <f>37/100*5.6</f>
        <v>2.0720000000000001</v>
      </c>
      <c r="K56" s="127"/>
      <c r="L56" s="3">
        <f>126/100*5.6</f>
        <v>7.0559999999999992</v>
      </c>
      <c r="M56" s="120"/>
    </row>
    <row r="57" spans="1:14" ht="15.75" thickBot="1">
      <c r="F57" s="46"/>
    </row>
    <row r="58" spans="1:14" ht="15.75" thickBot="1">
      <c r="A58" s="278" t="s">
        <v>257</v>
      </c>
      <c r="B58" s="279"/>
      <c r="C58" s="279"/>
      <c r="D58" s="178"/>
      <c r="E58" s="21"/>
      <c r="F58" s="137">
        <v>200</v>
      </c>
      <c r="G58" s="3"/>
      <c r="H58" s="3"/>
      <c r="I58" s="3"/>
      <c r="J58" s="122"/>
      <c r="K58" s="123"/>
      <c r="L58" s="3"/>
      <c r="M58" s="5"/>
    </row>
    <row r="59" spans="1:14" ht="15.75" thickBot="1">
      <c r="A59" s="280" t="s">
        <v>83</v>
      </c>
      <c r="B59" s="281"/>
      <c r="C59" s="282"/>
      <c r="D59" s="15">
        <v>52</v>
      </c>
      <c r="E59" s="15">
        <v>52</v>
      </c>
      <c r="F59" s="137"/>
      <c r="G59" s="3">
        <f>9.3/100*52</f>
        <v>4.8360000000000003</v>
      </c>
      <c r="H59" s="3">
        <f>1.14/100*52</f>
        <v>0.59279999999999988</v>
      </c>
      <c r="I59" s="3">
        <f>68/100*52</f>
        <v>35.36</v>
      </c>
      <c r="J59" s="130">
        <f>320/100*52</f>
        <v>166.4</v>
      </c>
      <c r="K59" s="131"/>
      <c r="L59" s="3">
        <v>0</v>
      </c>
      <c r="M59" s="5"/>
    </row>
    <row r="60" spans="1:14" ht="15.75" thickBot="1">
      <c r="A60" s="280" t="s">
        <v>48</v>
      </c>
      <c r="B60" s="281"/>
      <c r="C60" s="282"/>
      <c r="D60" s="15">
        <v>7</v>
      </c>
      <c r="E60" s="15">
        <v>7</v>
      </c>
      <c r="F60" s="137"/>
      <c r="G60" s="3">
        <f>0.4/100*7</f>
        <v>2.8000000000000001E-2</v>
      </c>
      <c r="H60" s="3">
        <f>78.5/100*7</f>
        <v>5.4950000000000001</v>
      </c>
      <c r="I60" s="3">
        <f>0.5/100*7</f>
        <v>3.5000000000000003E-2</v>
      </c>
      <c r="J60" s="130">
        <f>734/100*7</f>
        <v>51.379999999999995</v>
      </c>
      <c r="K60" s="131"/>
      <c r="L60" s="3">
        <f>0.6/100*7</f>
        <v>4.2000000000000003E-2</v>
      </c>
      <c r="M60" s="5"/>
    </row>
    <row r="61" spans="1:14" ht="15.75" thickBot="1">
      <c r="A61" s="280" t="s">
        <v>28</v>
      </c>
      <c r="B61" s="281"/>
      <c r="C61" s="282"/>
      <c r="D61" s="15">
        <v>60</v>
      </c>
      <c r="E61" s="15">
        <v>60</v>
      </c>
      <c r="F61" s="137"/>
      <c r="G61" s="3">
        <f>18.9/100*60</f>
        <v>11.339999999999998</v>
      </c>
      <c r="H61" s="3">
        <f>12.4/100*60</f>
        <v>7.4399999999999995</v>
      </c>
      <c r="I61" s="3">
        <v>0</v>
      </c>
      <c r="J61" s="17">
        <f>187/100*60</f>
        <v>112.2</v>
      </c>
      <c r="K61" s="18"/>
      <c r="L61" s="3">
        <v>0</v>
      </c>
      <c r="M61" s="5"/>
      <c r="N61">
        <v>9</v>
      </c>
    </row>
    <row r="62" spans="1:14" ht="15.75" thickBot="1">
      <c r="A62" s="280" t="s">
        <v>55</v>
      </c>
      <c r="B62" s="281"/>
      <c r="C62" s="282"/>
      <c r="D62" s="15">
        <v>16</v>
      </c>
      <c r="E62" s="15">
        <v>10</v>
      </c>
      <c r="F62" s="137"/>
      <c r="G62" s="3">
        <f>1/100*10</f>
        <v>0.1</v>
      </c>
      <c r="H62" s="3">
        <v>0</v>
      </c>
      <c r="I62" s="3">
        <f>6.1/100*10</f>
        <v>0.61</v>
      </c>
      <c r="J62" s="130">
        <f>29/100*10</f>
        <v>2.9</v>
      </c>
      <c r="K62" s="131"/>
      <c r="L62" s="3">
        <f>4/100*10</f>
        <v>0.4</v>
      </c>
      <c r="M62" s="5"/>
    </row>
    <row r="63" spans="1:14" ht="15.75" thickBot="1">
      <c r="A63" s="280" t="s">
        <v>54</v>
      </c>
      <c r="B63" s="281"/>
      <c r="C63" s="282"/>
      <c r="D63" s="15">
        <v>12</v>
      </c>
      <c r="E63" s="15">
        <v>10</v>
      </c>
      <c r="F63" s="137"/>
      <c r="G63" s="3">
        <f>0.2/100*10</f>
        <v>0.02</v>
      </c>
      <c r="H63" s="3">
        <v>0</v>
      </c>
      <c r="I63" s="3">
        <f>10/100*10</f>
        <v>1</v>
      </c>
      <c r="J63" s="130">
        <f>42/100*10</f>
        <v>4.2</v>
      </c>
      <c r="K63" s="131"/>
      <c r="L63" s="3">
        <f>8.5/100*10</f>
        <v>0.85000000000000009</v>
      </c>
      <c r="M63" s="5"/>
    </row>
    <row r="64" spans="1:14" ht="15.75" thickBot="1">
      <c r="A64" s="280" t="s">
        <v>60</v>
      </c>
      <c r="B64" s="281"/>
      <c r="C64" s="282"/>
      <c r="D64" s="15">
        <v>2</v>
      </c>
      <c r="E64" s="15">
        <v>2</v>
      </c>
      <c r="F64" s="137"/>
      <c r="G64" s="1">
        <v>0</v>
      </c>
      <c r="H64" s="1">
        <f>99.9/100*2</f>
        <v>1.9980000000000002</v>
      </c>
      <c r="I64" s="1">
        <v>0</v>
      </c>
      <c r="J64" s="17">
        <f>900/100*2</f>
        <v>18</v>
      </c>
      <c r="K64" s="18"/>
      <c r="L64" s="1">
        <v>0</v>
      </c>
      <c r="M64" s="5"/>
    </row>
    <row r="65" spans="1:14" ht="15.75" thickBot="1">
      <c r="F65" s="144"/>
    </row>
    <row r="66" spans="1:14" ht="15.75" thickBot="1">
      <c r="A66" s="278" t="s">
        <v>157</v>
      </c>
      <c r="B66" s="279"/>
      <c r="C66" s="279"/>
      <c r="D66" s="178"/>
      <c r="E66" s="21"/>
      <c r="F66" s="137">
        <v>200</v>
      </c>
      <c r="G66" s="3"/>
      <c r="H66" s="3"/>
      <c r="I66" s="3"/>
      <c r="J66" s="122"/>
      <c r="K66" s="123"/>
      <c r="L66" s="3"/>
      <c r="M66" s="5"/>
    </row>
    <row r="67" spans="1:14" ht="15.75" thickBot="1">
      <c r="A67" s="277" t="s">
        <v>52</v>
      </c>
      <c r="B67" s="277"/>
      <c r="C67" s="277"/>
      <c r="D67" s="15">
        <v>100</v>
      </c>
      <c r="E67" s="15">
        <v>70</v>
      </c>
      <c r="F67" s="137"/>
      <c r="G67" s="3">
        <f>1.2/100*70</f>
        <v>0.84</v>
      </c>
      <c r="H67" s="3">
        <v>0</v>
      </c>
      <c r="I67" s="3">
        <f>14/100*70</f>
        <v>9.8000000000000007</v>
      </c>
      <c r="J67" s="130">
        <f>62/100*70</f>
        <v>43.4</v>
      </c>
      <c r="K67" s="123"/>
      <c r="L67" s="3">
        <f>7.5/100*70</f>
        <v>5.25</v>
      </c>
      <c r="M67" s="5"/>
    </row>
    <row r="68" spans="1:14" ht="15.75" thickBot="1">
      <c r="A68" s="280" t="s">
        <v>78</v>
      </c>
      <c r="B68" s="281"/>
      <c r="C68" s="281"/>
      <c r="D68" s="15">
        <v>3</v>
      </c>
      <c r="E68" s="15">
        <v>3</v>
      </c>
      <c r="F68" s="73"/>
      <c r="G68" s="3">
        <f>2.2/100*3</f>
        <v>6.6000000000000003E-2</v>
      </c>
      <c r="H68" s="3">
        <v>0</v>
      </c>
      <c r="I68" s="3">
        <f>15.8/100*3</f>
        <v>0.47399999999999998</v>
      </c>
      <c r="J68" s="130">
        <f>63.2/100*3</f>
        <v>1.8959999999999999</v>
      </c>
      <c r="K68" s="123"/>
      <c r="L68" s="3">
        <f>26/100*3</f>
        <v>0.78</v>
      </c>
      <c r="M68" s="5"/>
    </row>
    <row r="69" spans="1:14" ht="15.75" thickBot="1">
      <c r="A69" s="322" t="s">
        <v>48</v>
      </c>
      <c r="B69" s="283"/>
      <c r="C69" s="284"/>
      <c r="D69" s="15">
        <v>7</v>
      </c>
      <c r="E69" s="15">
        <v>7</v>
      </c>
      <c r="F69" s="66"/>
      <c r="G69" s="3">
        <f>0.4/100*7</f>
        <v>2.8000000000000001E-2</v>
      </c>
      <c r="H69" s="3">
        <f>78.5/100*7</f>
        <v>5.4950000000000001</v>
      </c>
      <c r="I69" s="3">
        <f>0.5/100*7</f>
        <v>3.5000000000000003E-2</v>
      </c>
      <c r="J69" s="130">
        <f>734/100*7</f>
        <v>51.379999999999995</v>
      </c>
      <c r="K69" s="123"/>
      <c r="L69" s="3">
        <f>0.6/100*7</f>
        <v>4.2000000000000003E-2</v>
      </c>
      <c r="M69" s="5"/>
    </row>
    <row r="70" spans="1:14" ht="15.75" thickBot="1">
      <c r="A70" s="277" t="s">
        <v>53</v>
      </c>
      <c r="B70" s="277"/>
      <c r="C70" s="277"/>
      <c r="D70" s="15">
        <v>130</v>
      </c>
      <c r="E70" s="15">
        <v>100</v>
      </c>
      <c r="F70" s="73"/>
      <c r="G70" s="3">
        <f>1.2/100*130</f>
        <v>1.56</v>
      </c>
      <c r="H70" s="3">
        <v>0</v>
      </c>
      <c r="I70" s="3">
        <f>4.1/100*130</f>
        <v>5.3299999999999992</v>
      </c>
      <c r="J70" s="130">
        <f>22/100*130</f>
        <v>28.6</v>
      </c>
      <c r="K70" s="123"/>
      <c r="L70" s="3">
        <f>24/100*130</f>
        <v>31.2</v>
      </c>
      <c r="M70" s="5"/>
      <c r="N70">
        <v>10</v>
      </c>
    </row>
    <row r="71" spans="1:14" ht="15.75" thickBot="1">
      <c r="A71" s="277" t="s">
        <v>54</v>
      </c>
      <c r="B71" s="277"/>
      <c r="C71" s="277"/>
      <c r="D71" s="15">
        <v>7</v>
      </c>
      <c r="E71" s="15">
        <v>7</v>
      </c>
      <c r="F71" s="73"/>
      <c r="G71" s="3">
        <f>0.2/100*7</f>
        <v>1.4E-2</v>
      </c>
      <c r="H71" s="3">
        <v>0</v>
      </c>
      <c r="I71" s="3">
        <f>10/100*7</f>
        <v>0.70000000000000007</v>
      </c>
      <c r="J71" s="130">
        <f>42/100*7</f>
        <v>2.94</v>
      </c>
      <c r="K71" s="123"/>
      <c r="L71" s="3">
        <f>8.4/100*7</f>
        <v>0.58800000000000008</v>
      </c>
      <c r="M71" s="5"/>
    </row>
    <row r="72" spans="1:14" ht="15.75" thickBot="1">
      <c r="A72" s="277" t="s">
        <v>55</v>
      </c>
      <c r="B72" s="277"/>
      <c r="C72" s="277"/>
      <c r="D72" s="15">
        <v>7</v>
      </c>
      <c r="E72" s="15">
        <v>7</v>
      </c>
      <c r="F72" s="73"/>
      <c r="G72" s="3">
        <f>1/100*7</f>
        <v>7.0000000000000007E-2</v>
      </c>
      <c r="H72" s="3">
        <v>0</v>
      </c>
      <c r="I72" s="3">
        <f>6.1/100*7</f>
        <v>0.42699999999999999</v>
      </c>
      <c r="J72" s="130">
        <f>29/100*7</f>
        <v>2.0299999999999998</v>
      </c>
      <c r="K72" s="123"/>
      <c r="L72" s="3">
        <f>4/100*7</f>
        <v>0.28000000000000003</v>
      </c>
      <c r="M72" s="5"/>
    </row>
    <row r="73" spans="1:14" ht="15.75" thickBot="1">
      <c r="A73" s="322" t="s">
        <v>28</v>
      </c>
      <c r="B73" s="283"/>
      <c r="C73" s="284"/>
      <c r="D73" s="15">
        <v>40</v>
      </c>
      <c r="E73" s="15">
        <v>40</v>
      </c>
      <c r="F73" s="66"/>
      <c r="G73" s="3">
        <f>18.9/100*40</f>
        <v>7.5599999999999987</v>
      </c>
      <c r="H73" s="3">
        <f>12.4/100*40</f>
        <v>4.96</v>
      </c>
      <c r="I73" s="3">
        <v>0</v>
      </c>
      <c r="J73" s="130">
        <f>187/100*40</f>
        <v>74.800000000000011</v>
      </c>
      <c r="K73" s="123"/>
      <c r="L73" s="3">
        <v>0</v>
      </c>
      <c r="M73" s="5"/>
    </row>
    <row r="74" spans="1:14" ht="15.75" thickBot="1">
      <c r="A74" s="280" t="s">
        <v>72</v>
      </c>
      <c r="B74" s="281"/>
      <c r="C74" s="282"/>
      <c r="D74" s="15">
        <v>3</v>
      </c>
      <c r="E74" s="15">
        <v>3</v>
      </c>
      <c r="F74" s="73"/>
      <c r="G74" s="3">
        <f>0.8/100*3</f>
        <v>2.4E-2</v>
      </c>
      <c r="H74" s="3">
        <v>0</v>
      </c>
      <c r="I74" s="3">
        <f>3.3/100*3</f>
        <v>9.9000000000000005E-2</v>
      </c>
      <c r="J74" s="130">
        <f>17/100*3</f>
        <v>0.51</v>
      </c>
      <c r="K74" s="123"/>
      <c r="L74" s="3">
        <f>48/100*3</f>
        <v>1.44</v>
      </c>
      <c r="M74" s="5"/>
    </row>
    <row r="75" spans="1:14" ht="15.75" thickBot="1">
      <c r="A75" s="277" t="s">
        <v>81</v>
      </c>
      <c r="B75" s="277"/>
      <c r="C75" s="277"/>
      <c r="D75" s="15">
        <v>8</v>
      </c>
      <c r="E75" s="15">
        <v>8</v>
      </c>
      <c r="F75" s="73"/>
      <c r="G75" s="3">
        <f>2.2/100*8</f>
        <v>0.17600000000000002</v>
      </c>
      <c r="H75" s="3">
        <v>0</v>
      </c>
      <c r="I75" s="3">
        <f>11.2/100*8</f>
        <v>0.89599999999999991</v>
      </c>
      <c r="J75" s="130">
        <f>58/100*8</f>
        <v>4.6399999999999997</v>
      </c>
      <c r="K75" s="123"/>
      <c r="L75" s="3">
        <v>0</v>
      </c>
      <c r="M75" s="5"/>
    </row>
    <row r="76" spans="1:14" ht="15.75" thickBot="1">
      <c r="A76" s="280" t="s">
        <v>158</v>
      </c>
      <c r="B76" s="281"/>
      <c r="C76" s="282"/>
      <c r="D76" s="15">
        <v>7</v>
      </c>
      <c r="E76" s="15">
        <v>7</v>
      </c>
      <c r="F76" s="73"/>
      <c r="G76" s="3">
        <f>6.1/100*7</f>
        <v>0.42699999999999999</v>
      </c>
      <c r="H76" s="3">
        <v>0</v>
      </c>
      <c r="I76" s="3">
        <f>14.9/100*7</f>
        <v>1.0429999999999999</v>
      </c>
      <c r="J76" s="17">
        <f>84/100*7</f>
        <v>5.88</v>
      </c>
      <c r="K76" s="127"/>
      <c r="L76" s="3">
        <v>0</v>
      </c>
      <c r="M76" s="5"/>
    </row>
    <row r="77" spans="1:14" ht="15.75" thickBot="1">
      <c r="F77" s="46"/>
    </row>
    <row r="78" spans="1:14" ht="15.75" thickBot="1">
      <c r="A78" s="278" t="s">
        <v>108</v>
      </c>
      <c r="B78" s="279"/>
      <c r="C78" s="279"/>
      <c r="D78" s="178"/>
      <c r="E78" s="21"/>
      <c r="F78" s="137">
        <v>200</v>
      </c>
      <c r="G78" s="3"/>
      <c r="H78" s="3"/>
      <c r="I78" s="3"/>
      <c r="J78" s="122"/>
      <c r="K78" s="123"/>
      <c r="L78" s="3"/>
      <c r="M78" s="5"/>
    </row>
    <row r="79" spans="1:14" ht="15.75" thickBot="1">
      <c r="A79" s="280" t="s">
        <v>206</v>
      </c>
      <c r="B79" s="281"/>
      <c r="C79" s="281"/>
      <c r="D79" s="15">
        <v>52</v>
      </c>
      <c r="E79" s="15">
        <v>52</v>
      </c>
      <c r="F79" s="66"/>
      <c r="G79" s="3">
        <f>7/100*52</f>
        <v>3.6400000000000006</v>
      </c>
      <c r="H79" s="3">
        <f>1/100*52</f>
        <v>0.52</v>
      </c>
      <c r="I79" s="17">
        <f>74/100*52</f>
        <v>38.479999999999997</v>
      </c>
      <c r="J79" s="17">
        <f>330/100*52</f>
        <v>171.6</v>
      </c>
      <c r="K79" s="18"/>
      <c r="L79" s="3">
        <v>0</v>
      </c>
      <c r="M79" s="5"/>
    </row>
    <row r="80" spans="1:14" ht="15.75" thickBot="1">
      <c r="A80" s="280" t="s">
        <v>23</v>
      </c>
      <c r="B80" s="281"/>
      <c r="C80" s="281"/>
      <c r="D80" s="15">
        <v>5</v>
      </c>
      <c r="E80" s="15">
        <v>5</v>
      </c>
      <c r="F80" s="73"/>
      <c r="G80" s="3">
        <f>0.4/100*5</f>
        <v>0.02</v>
      </c>
      <c r="H80" s="3">
        <f>78.5/100*5</f>
        <v>3.9250000000000003</v>
      </c>
      <c r="I80" s="3">
        <f>0.5/100*5</f>
        <v>2.5000000000000001E-2</v>
      </c>
      <c r="J80" s="130">
        <f>734/100*5</f>
        <v>36.700000000000003</v>
      </c>
      <c r="K80" s="123"/>
      <c r="L80" s="3">
        <f>0.6/100*5</f>
        <v>0.03</v>
      </c>
      <c r="M80" s="5"/>
      <c r="N80">
        <v>11</v>
      </c>
    </row>
    <row r="81" spans="1:14" ht="15.75" thickBot="1">
      <c r="A81" s="277" t="s">
        <v>36</v>
      </c>
      <c r="B81" s="277"/>
      <c r="C81" s="277"/>
      <c r="D81" s="15">
        <v>2</v>
      </c>
      <c r="E81" s="15">
        <v>2</v>
      </c>
      <c r="F81" s="73"/>
      <c r="G81" s="3">
        <v>0</v>
      </c>
      <c r="H81" s="3">
        <f>99.9/100*5</f>
        <v>4.995000000000001</v>
      </c>
      <c r="I81" s="3">
        <v>0</v>
      </c>
      <c r="J81" s="17">
        <f>900/100*2</f>
        <v>18</v>
      </c>
      <c r="K81" s="127"/>
      <c r="L81" s="3">
        <v>0</v>
      </c>
      <c r="M81" s="5"/>
    </row>
    <row r="82" spans="1:14" ht="15.75" thickBot="1"/>
    <row r="83" spans="1:14" ht="15.75" thickBot="1">
      <c r="A83" s="278" t="s">
        <v>249</v>
      </c>
      <c r="B83" s="279"/>
      <c r="C83" s="279"/>
      <c r="D83" s="220"/>
      <c r="E83" s="21"/>
      <c r="F83" s="137">
        <v>150</v>
      </c>
      <c r="G83" s="3"/>
      <c r="H83" s="3"/>
      <c r="I83" s="3"/>
      <c r="J83" s="214"/>
      <c r="K83" s="215"/>
      <c r="L83" s="3"/>
      <c r="M83" s="5"/>
    </row>
    <row r="84" spans="1:14" ht="15.75" thickBot="1">
      <c r="A84" s="280" t="s">
        <v>238</v>
      </c>
      <c r="B84" s="281"/>
      <c r="C84" s="281"/>
      <c r="D84" s="15">
        <v>51</v>
      </c>
      <c r="E84" s="15">
        <v>51</v>
      </c>
      <c r="F84" s="66"/>
      <c r="G84" s="3">
        <f>20.5/100*E84</f>
        <v>10.455</v>
      </c>
      <c r="H84" s="3">
        <f>2/100*E84</f>
        <v>1.02</v>
      </c>
      <c r="I84" s="3">
        <f>44/100*E84</f>
        <v>22.44</v>
      </c>
      <c r="J84" s="212">
        <f>298/100*E84</f>
        <v>151.97999999999999</v>
      </c>
      <c r="K84" s="215"/>
      <c r="L84" s="3">
        <f>3.9/100*E84</f>
        <v>1.9890000000000001</v>
      </c>
      <c r="M84" s="5"/>
      <c r="N84">
        <v>12</v>
      </c>
    </row>
    <row r="85" spans="1:14" ht="15.75" thickBot="1">
      <c r="A85" s="280" t="s">
        <v>23</v>
      </c>
      <c r="B85" s="281"/>
      <c r="C85" s="281"/>
      <c r="D85" s="15">
        <v>6.75</v>
      </c>
      <c r="E85" s="15">
        <v>6.75</v>
      </c>
      <c r="F85" s="73"/>
      <c r="G85" s="3">
        <f>0.4/100*6.75</f>
        <v>2.7E-2</v>
      </c>
      <c r="H85" s="3">
        <f>78.5/100*6.75</f>
        <v>5.2987500000000001</v>
      </c>
      <c r="I85" s="3">
        <f>0.5/100*6.75</f>
        <v>3.3750000000000002E-2</v>
      </c>
      <c r="J85" s="221">
        <f>734/100*6.75</f>
        <v>49.545000000000002</v>
      </c>
      <c r="K85" s="204"/>
      <c r="L85" s="3">
        <f>0.6/100*6.75</f>
        <v>4.0500000000000001E-2</v>
      </c>
      <c r="M85" s="5"/>
    </row>
    <row r="86" spans="1:14" ht="15.75" thickBot="1"/>
    <row r="87" spans="1:14" ht="15.75" thickBot="1">
      <c r="A87" s="278" t="s">
        <v>251</v>
      </c>
      <c r="B87" s="279"/>
      <c r="C87" s="279"/>
      <c r="D87" s="220"/>
      <c r="E87" s="21"/>
      <c r="F87" s="137">
        <v>200</v>
      </c>
      <c r="G87" s="3"/>
      <c r="H87" s="3"/>
      <c r="I87" s="3"/>
      <c r="J87" s="214"/>
      <c r="K87" s="215"/>
      <c r="L87" s="3"/>
      <c r="M87" s="5"/>
    </row>
    <row r="88" spans="1:14" ht="15.75" thickBot="1">
      <c r="A88" s="277" t="s">
        <v>52</v>
      </c>
      <c r="B88" s="277"/>
      <c r="C88" s="277"/>
      <c r="D88" s="15">
        <v>100</v>
      </c>
      <c r="E88" s="15">
        <v>70</v>
      </c>
      <c r="F88" s="137"/>
      <c r="G88" s="3">
        <f>1.2/100*70</f>
        <v>0.84</v>
      </c>
      <c r="H88" s="3">
        <v>0</v>
      </c>
      <c r="I88" s="3">
        <f>14/100*70</f>
        <v>9.8000000000000007</v>
      </c>
      <c r="J88" s="212">
        <f>62/100*70</f>
        <v>43.4</v>
      </c>
      <c r="K88" s="215"/>
      <c r="L88" s="3">
        <f>7.5/100*70</f>
        <v>5.25</v>
      </c>
      <c r="M88" s="5"/>
    </row>
    <row r="89" spans="1:14" ht="15.75" thickBot="1">
      <c r="A89" s="280" t="s">
        <v>78</v>
      </c>
      <c r="B89" s="281"/>
      <c r="C89" s="281"/>
      <c r="D89" s="15">
        <v>4</v>
      </c>
      <c r="E89" s="15">
        <v>4</v>
      </c>
      <c r="F89" s="73"/>
      <c r="G89" s="3">
        <f>2.2/100*3</f>
        <v>6.6000000000000003E-2</v>
      </c>
      <c r="H89" s="3">
        <v>0</v>
      </c>
      <c r="I89" s="3">
        <f>15.8/100*3</f>
        <v>0.47399999999999998</v>
      </c>
      <c r="J89" s="212">
        <f>63.2/100*3</f>
        <v>1.8959999999999999</v>
      </c>
      <c r="K89" s="215"/>
      <c r="L89" s="3">
        <f>26/100*3</f>
        <v>0.78</v>
      </c>
      <c r="M89" s="5"/>
    </row>
    <row r="90" spans="1:14" ht="15.75" thickBot="1">
      <c r="A90" s="277" t="s">
        <v>144</v>
      </c>
      <c r="B90" s="277"/>
      <c r="C90" s="277"/>
      <c r="D90" s="15">
        <v>3</v>
      </c>
      <c r="E90" s="15">
        <v>3</v>
      </c>
      <c r="F90" s="73"/>
      <c r="G90" s="3">
        <v>0</v>
      </c>
      <c r="H90" s="3">
        <f>99.9/100*3</f>
        <v>2.9970000000000003</v>
      </c>
      <c r="I90" s="3">
        <v>0</v>
      </c>
      <c r="J90" s="221">
        <f>900/100*3</f>
        <v>27</v>
      </c>
      <c r="K90" s="204"/>
      <c r="L90" s="3">
        <v>0</v>
      </c>
      <c r="M90" s="5"/>
    </row>
    <row r="91" spans="1:14" ht="15.75" thickBot="1">
      <c r="A91" s="322" t="s">
        <v>48</v>
      </c>
      <c r="B91" s="283"/>
      <c r="C91" s="284"/>
      <c r="D91" s="15">
        <v>3</v>
      </c>
      <c r="E91" s="15">
        <v>3</v>
      </c>
      <c r="F91" s="66"/>
      <c r="G91" s="3">
        <f>0.4/100*7</f>
        <v>2.8000000000000001E-2</v>
      </c>
      <c r="H91" s="3">
        <f>78.5/100*7</f>
        <v>5.4950000000000001</v>
      </c>
      <c r="I91" s="3">
        <f>0.5/100*7</f>
        <v>3.5000000000000003E-2</v>
      </c>
      <c r="J91" s="212">
        <f>734/100*7</f>
        <v>51.379999999999995</v>
      </c>
      <c r="K91" s="215"/>
      <c r="L91" s="3">
        <f>0.6/100*7</f>
        <v>4.2000000000000003E-2</v>
      </c>
      <c r="M91" s="5"/>
    </row>
    <row r="92" spans="1:14" ht="15.75" thickBot="1">
      <c r="A92" s="277" t="s">
        <v>53</v>
      </c>
      <c r="B92" s="277"/>
      <c r="C92" s="277"/>
      <c r="D92" s="15">
        <v>103.75</v>
      </c>
      <c r="E92" s="15">
        <v>95</v>
      </c>
      <c r="F92" s="73"/>
      <c r="G92" s="3">
        <f>1.2/100*E92</f>
        <v>1.1400000000000001</v>
      </c>
      <c r="H92" s="3">
        <v>0</v>
      </c>
      <c r="I92" s="3">
        <f>4.1/100*E92</f>
        <v>3.8949999999999996</v>
      </c>
      <c r="J92" s="212">
        <f>22/100*E92</f>
        <v>20.9</v>
      </c>
      <c r="K92" s="215"/>
      <c r="L92" s="3">
        <f>24/100*E92</f>
        <v>22.8</v>
      </c>
      <c r="M92" s="5"/>
    </row>
    <row r="93" spans="1:14" ht="15.75" thickBot="1">
      <c r="A93" s="277" t="s">
        <v>54</v>
      </c>
      <c r="B93" s="277"/>
      <c r="C93" s="277"/>
      <c r="D93" s="15">
        <v>8.75</v>
      </c>
      <c r="E93" s="15">
        <v>7</v>
      </c>
      <c r="F93" s="73"/>
      <c r="G93" s="3">
        <f>0.2/100*7</f>
        <v>1.4E-2</v>
      </c>
      <c r="H93" s="3">
        <v>0</v>
      </c>
      <c r="I93" s="3">
        <f>10/100*7</f>
        <v>0.70000000000000007</v>
      </c>
      <c r="J93" s="212">
        <f>42/100*7</f>
        <v>2.94</v>
      </c>
      <c r="K93" s="215"/>
      <c r="L93" s="3">
        <f>8.4/100*7</f>
        <v>0.58800000000000008</v>
      </c>
      <c r="M93" s="5"/>
    </row>
    <row r="94" spans="1:14" ht="15.75" thickBot="1">
      <c r="A94" s="277" t="s">
        <v>55</v>
      </c>
      <c r="B94" s="277"/>
      <c r="C94" s="277"/>
      <c r="D94" s="15">
        <v>12.5</v>
      </c>
      <c r="E94" s="15">
        <v>7</v>
      </c>
      <c r="F94" s="73"/>
      <c r="G94" s="3">
        <f>1/100*7</f>
        <v>7.0000000000000007E-2</v>
      </c>
      <c r="H94" s="3">
        <v>0</v>
      </c>
      <c r="I94" s="3">
        <f>6.1/100*7</f>
        <v>0.42699999999999999</v>
      </c>
      <c r="J94" s="212">
        <f>29/100*7</f>
        <v>2.0299999999999998</v>
      </c>
      <c r="K94" s="215"/>
      <c r="L94" s="3">
        <f>4/100*7</f>
        <v>0.28000000000000003</v>
      </c>
      <c r="M94" s="5"/>
    </row>
    <row r="95" spans="1:14" ht="15.75" thickBot="1">
      <c r="A95" s="280" t="s">
        <v>252</v>
      </c>
      <c r="B95" s="283"/>
      <c r="C95" s="284"/>
      <c r="D95" s="15">
        <v>40</v>
      </c>
      <c r="E95" s="15">
        <v>40</v>
      </c>
      <c r="F95" s="66"/>
      <c r="G95" s="3">
        <f>18.9/100*40</f>
        <v>7.5599999999999987</v>
      </c>
      <c r="H95" s="3">
        <f>12.4/100*40</f>
        <v>4.96</v>
      </c>
      <c r="I95" s="3">
        <v>0</v>
      </c>
      <c r="J95" s="212">
        <f>187/100*40</f>
        <v>74.800000000000011</v>
      </c>
      <c r="K95" s="215"/>
      <c r="L95" s="3">
        <v>0</v>
      </c>
      <c r="M95" s="5"/>
    </row>
    <row r="96" spans="1:14" ht="15.75" thickBot="1">
      <c r="A96" s="280" t="s">
        <v>72</v>
      </c>
      <c r="B96" s="281"/>
      <c r="C96" s="282"/>
      <c r="D96" s="15">
        <v>3</v>
      </c>
      <c r="E96" s="15">
        <v>3</v>
      </c>
      <c r="F96" s="73"/>
      <c r="G96" s="3">
        <f>0.8/100*3</f>
        <v>2.4E-2</v>
      </c>
      <c r="H96" s="3">
        <v>0</v>
      </c>
      <c r="I96" s="3">
        <f>3.3/100*3</f>
        <v>9.9000000000000005E-2</v>
      </c>
      <c r="J96" s="212">
        <f>17/100*3</f>
        <v>0.51</v>
      </c>
      <c r="K96" s="215"/>
      <c r="L96" s="3">
        <f>48/100*3</f>
        <v>1.44</v>
      </c>
      <c r="M96" s="5"/>
    </row>
    <row r="97" spans="1:13" ht="15.75" thickBot="1">
      <c r="A97" s="277" t="s">
        <v>81</v>
      </c>
      <c r="B97" s="277"/>
      <c r="C97" s="277"/>
      <c r="D97" s="15">
        <v>8</v>
      </c>
      <c r="E97" s="15">
        <v>8</v>
      </c>
      <c r="F97" s="73"/>
      <c r="G97" s="3">
        <f>2.2/100*8</f>
        <v>0.17600000000000002</v>
      </c>
      <c r="H97" s="3">
        <v>0</v>
      </c>
      <c r="I97" s="3">
        <f>11.2/100*8</f>
        <v>0.89599999999999991</v>
      </c>
      <c r="J97" s="212">
        <f>58/100*8</f>
        <v>4.6399999999999997</v>
      </c>
      <c r="K97" s="215"/>
      <c r="L97" s="3">
        <v>0</v>
      </c>
      <c r="M97" s="5"/>
    </row>
    <row r="98" spans="1:13" ht="15.75" thickBot="1">
      <c r="A98" s="280" t="s">
        <v>158</v>
      </c>
      <c r="B98" s="281"/>
      <c r="C98" s="282"/>
      <c r="D98" s="15">
        <v>7</v>
      </c>
      <c r="E98" s="15">
        <v>7</v>
      </c>
      <c r="F98" s="73"/>
      <c r="G98" s="3">
        <f>6.1/100*7</f>
        <v>0.42699999999999999</v>
      </c>
      <c r="H98" s="3">
        <v>0</v>
      </c>
      <c r="I98" s="3">
        <f>14.9/100*7</f>
        <v>1.0429999999999999</v>
      </c>
      <c r="J98" s="221">
        <f>84/100*7</f>
        <v>5.88</v>
      </c>
      <c r="K98" s="204"/>
      <c r="L98" s="3">
        <v>0</v>
      </c>
      <c r="M98" s="5"/>
    </row>
    <row r="104" spans="1:13">
      <c r="F104" t="s">
        <v>253</v>
      </c>
    </row>
  </sheetData>
  <mergeCells count="88">
    <mergeCell ref="J11:K11"/>
    <mergeCell ref="A12:C12"/>
    <mergeCell ref="A13:C13"/>
    <mergeCell ref="A2:C2"/>
    <mergeCell ref="J2:K2"/>
    <mergeCell ref="A3:C3"/>
    <mergeCell ref="A4:C4"/>
    <mergeCell ref="A5:C5"/>
    <mergeCell ref="A7:E7"/>
    <mergeCell ref="A14:C14"/>
    <mergeCell ref="A15:C15"/>
    <mergeCell ref="A16:C16"/>
    <mergeCell ref="A17:C17"/>
    <mergeCell ref="A8:C8"/>
    <mergeCell ref="A9:C9"/>
    <mergeCell ref="A11:C11"/>
    <mergeCell ref="A32:C32"/>
    <mergeCell ref="A18:C18"/>
    <mergeCell ref="A19:C19"/>
    <mergeCell ref="A21:C21"/>
    <mergeCell ref="A22:C22"/>
    <mergeCell ref="A23:C23"/>
    <mergeCell ref="A24:C24"/>
    <mergeCell ref="A25:C25"/>
    <mergeCell ref="A27:C27"/>
    <mergeCell ref="A29:E29"/>
    <mergeCell ref="A30:C30"/>
    <mergeCell ref="A31:C31"/>
    <mergeCell ref="A33:C33"/>
    <mergeCell ref="A34:C34"/>
    <mergeCell ref="A35:C35"/>
    <mergeCell ref="A36:C36"/>
    <mergeCell ref="A38:C38"/>
    <mergeCell ref="J48:K48"/>
    <mergeCell ref="A49:C49"/>
    <mergeCell ref="A50:C50"/>
    <mergeCell ref="A39:C39"/>
    <mergeCell ref="A40:C40"/>
    <mergeCell ref="A41:C41"/>
    <mergeCell ref="A43:C43"/>
    <mergeCell ref="J43:K43"/>
    <mergeCell ref="A44:C44"/>
    <mergeCell ref="A51:C51"/>
    <mergeCell ref="A52:C52"/>
    <mergeCell ref="A53:C53"/>
    <mergeCell ref="A54:C54"/>
    <mergeCell ref="A45:C45"/>
    <mergeCell ref="A46:C46"/>
    <mergeCell ref="A48:C48"/>
    <mergeCell ref="A62:C62"/>
    <mergeCell ref="A63:C63"/>
    <mergeCell ref="A64:C64"/>
    <mergeCell ref="A55:C55"/>
    <mergeCell ref="A56:C56"/>
    <mergeCell ref="A58:C58"/>
    <mergeCell ref="A59:C59"/>
    <mergeCell ref="A60:C60"/>
    <mergeCell ref="A61:C61"/>
    <mergeCell ref="A78:C78"/>
    <mergeCell ref="A79:C79"/>
    <mergeCell ref="A80:C80"/>
    <mergeCell ref="A81:C81"/>
    <mergeCell ref="A66:C66"/>
    <mergeCell ref="A72:C72"/>
    <mergeCell ref="A73:C73"/>
    <mergeCell ref="A74:C74"/>
    <mergeCell ref="A75:C75"/>
    <mergeCell ref="A76:C76"/>
    <mergeCell ref="A67:C67"/>
    <mergeCell ref="A68:C68"/>
    <mergeCell ref="A69:C69"/>
    <mergeCell ref="A70:C70"/>
    <mergeCell ref="A71:C71"/>
    <mergeCell ref="A83:C83"/>
    <mergeCell ref="A84:C84"/>
    <mergeCell ref="A85:C85"/>
    <mergeCell ref="A87:C87"/>
    <mergeCell ref="A88:C88"/>
    <mergeCell ref="A89:C89"/>
    <mergeCell ref="A91:C91"/>
    <mergeCell ref="A92:C92"/>
    <mergeCell ref="A93:C93"/>
    <mergeCell ref="A94:C94"/>
    <mergeCell ref="A95:C95"/>
    <mergeCell ref="A96:C96"/>
    <mergeCell ref="A97:C97"/>
    <mergeCell ref="A98:C98"/>
    <mergeCell ref="A90:C90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72"/>
  <sheetViews>
    <sheetView workbookViewId="0">
      <selection activeCell="O20" sqref="O20"/>
    </sheetView>
  </sheetViews>
  <sheetFormatPr defaultRowHeight="15"/>
  <sheetData>
    <row r="1" spans="1:14" ht="15.75" thickBot="1"/>
    <row r="2" spans="1:14" ht="15.75" thickBot="1">
      <c r="A2" s="278" t="s">
        <v>122</v>
      </c>
      <c r="B2" s="279"/>
      <c r="C2" s="279"/>
      <c r="D2" s="134"/>
      <c r="E2" s="21"/>
      <c r="F2" s="66">
        <v>70</v>
      </c>
      <c r="G2" s="3"/>
      <c r="H2" s="3"/>
      <c r="I2" s="3"/>
      <c r="J2" s="122"/>
      <c r="K2" s="123"/>
      <c r="L2" s="3"/>
      <c r="M2" s="5"/>
    </row>
    <row r="3" spans="1:14" ht="15.75" thickBot="1">
      <c r="A3" s="280" t="s">
        <v>91</v>
      </c>
      <c r="B3" s="281"/>
      <c r="C3" s="282"/>
      <c r="D3" s="15">
        <v>60</v>
      </c>
      <c r="E3" s="15">
        <v>60</v>
      </c>
      <c r="F3" s="3"/>
      <c r="G3" s="3">
        <f>18.9/100*60</f>
        <v>11.339999999999998</v>
      </c>
      <c r="H3" s="3">
        <f>12.4/100*60</f>
        <v>7.4399999999999995</v>
      </c>
      <c r="I3" s="3">
        <v>0</v>
      </c>
      <c r="J3" s="17">
        <f>187/100*60</f>
        <v>112.2</v>
      </c>
      <c r="K3" s="18"/>
      <c r="L3" s="3">
        <v>0</v>
      </c>
      <c r="M3" s="5"/>
    </row>
    <row r="4" spans="1:14" ht="15.75" thickBot="1">
      <c r="A4" s="280" t="s">
        <v>48</v>
      </c>
      <c r="B4" s="283"/>
      <c r="C4" s="284"/>
      <c r="D4" s="15">
        <v>2</v>
      </c>
      <c r="E4" s="15">
        <v>2</v>
      </c>
      <c r="F4" s="5"/>
      <c r="G4" s="3">
        <f>0.4/100*2</f>
        <v>8.0000000000000002E-3</v>
      </c>
      <c r="H4" s="3">
        <f>78.5/100*2</f>
        <v>1.57</v>
      </c>
      <c r="I4" s="3">
        <f>0.5/100*2</f>
        <v>0.01</v>
      </c>
      <c r="J4" s="17">
        <f>734/100*2</f>
        <v>14.68</v>
      </c>
      <c r="K4" s="18"/>
      <c r="L4" s="3">
        <v>0</v>
      </c>
      <c r="M4" s="5"/>
    </row>
    <row r="5" spans="1:14" ht="15.75" thickBot="1">
      <c r="A5" s="277" t="s">
        <v>60</v>
      </c>
      <c r="B5" s="277"/>
      <c r="C5" s="277"/>
      <c r="D5" s="15">
        <v>2</v>
      </c>
      <c r="E5" s="15">
        <v>2</v>
      </c>
      <c r="F5" s="3"/>
      <c r="G5" s="1">
        <v>0</v>
      </c>
      <c r="H5" s="1">
        <f>99.9/100*2</f>
        <v>1.9980000000000002</v>
      </c>
      <c r="I5" s="1">
        <v>0</v>
      </c>
      <c r="J5" s="17">
        <f>900/100*2</f>
        <v>18</v>
      </c>
      <c r="K5" s="18"/>
      <c r="L5" s="1">
        <v>0</v>
      </c>
      <c r="M5" s="5"/>
    </row>
    <row r="6" spans="1:14" ht="15.75" thickBot="1">
      <c r="A6" s="277" t="s">
        <v>54</v>
      </c>
      <c r="B6" s="277"/>
      <c r="C6" s="277"/>
      <c r="D6" s="15">
        <v>7</v>
      </c>
      <c r="E6" s="15">
        <v>5</v>
      </c>
      <c r="F6" s="3"/>
      <c r="G6" s="3">
        <f>0.2/100*5</f>
        <v>0.01</v>
      </c>
      <c r="H6" s="3">
        <v>0</v>
      </c>
      <c r="I6" s="3">
        <f>10/100*5</f>
        <v>0.5</v>
      </c>
      <c r="J6" s="130">
        <f>42/100*5</f>
        <v>2.1</v>
      </c>
      <c r="K6" s="123"/>
      <c r="L6" s="3">
        <f>8.5/100*5</f>
        <v>0.42500000000000004</v>
      </c>
      <c r="M6" s="5"/>
      <c r="N6">
        <v>1</v>
      </c>
    </row>
    <row r="7" spans="1:14" ht="15.75" thickBot="1">
      <c r="A7" s="280" t="s">
        <v>55</v>
      </c>
      <c r="B7" s="281"/>
      <c r="C7" s="281"/>
      <c r="D7" s="15">
        <v>7</v>
      </c>
      <c r="E7" s="15">
        <v>5</v>
      </c>
      <c r="F7" s="3"/>
      <c r="G7" s="3">
        <f>1/100*5</f>
        <v>0.05</v>
      </c>
      <c r="H7" s="3">
        <v>0</v>
      </c>
      <c r="I7" s="3">
        <f>6.1/100*5</f>
        <v>0.30499999999999999</v>
      </c>
      <c r="J7" s="130">
        <f>29/100*5</f>
        <v>1.45</v>
      </c>
      <c r="K7" s="123"/>
      <c r="L7" s="3">
        <f>4/100*5</f>
        <v>0.2</v>
      </c>
      <c r="M7" s="5"/>
    </row>
    <row r="8" spans="1:14" ht="15.75" thickBot="1">
      <c r="A8" s="118"/>
      <c r="B8" s="119" t="s">
        <v>51</v>
      </c>
      <c r="C8" s="129"/>
      <c r="D8" s="15">
        <v>2.1</v>
      </c>
      <c r="E8" s="15">
        <v>2.1</v>
      </c>
      <c r="F8" s="5"/>
      <c r="G8" s="3">
        <f>10.3/100*2.1</f>
        <v>0.21630000000000002</v>
      </c>
      <c r="H8" s="3">
        <f>1.1/100*2.1</f>
        <v>2.3100000000000002E-2</v>
      </c>
      <c r="I8" s="3">
        <f>70.6/100*2.1</f>
        <v>1.4825999999999999</v>
      </c>
      <c r="J8" s="130">
        <f>334/100*2.1</f>
        <v>7.0140000000000002</v>
      </c>
      <c r="K8" s="20"/>
      <c r="L8" s="3">
        <v>0</v>
      </c>
      <c r="M8" s="5"/>
    </row>
    <row r="9" spans="1:14" ht="15.75" thickBot="1">
      <c r="A9" s="280" t="s">
        <v>78</v>
      </c>
      <c r="B9" s="283"/>
      <c r="C9" s="284"/>
      <c r="D9" s="15">
        <v>7</v>
      </c>
      <c r="E9" s="15">
        <v>7</v>
      </c>
      <c r="F9" s="5"/>
      <c r="G9" s="3">
        <f>2.2/100*7</f>
        <v>0.15400000000000003</v>
      </c>
      <c r="H9" s="3">
        <v>0</v>
      </c>
      <c r="I9" s="3">
        <f>15.8/100*7</f>
        <v>1.1060000000000001</v>
      </c>
      <c r="J9" s="130">
        <f>63.2/100*7</f>
        <v>4.4240000000000004</v>
      </c>
      <c r="K9" s="123"/>
      <c r="L9" s="3">
        <f>26/100*7</f>
        <v>1.82</v>
      </c>
      <c r="M9" s="5"/>
    </row>
    <row r="10" spans="1:14" ht="15.75" thickBot="1">
      <c r="A10" s="277" t="s">
        <v>72</v>
      </c>
      <c r="B10" s="277"/>
      <c r="C10" s="277"/>
      <c r="D10" s="15">
        <v>3</v>
      </c>
      <c r="E10" s="15">
        <v>2.8</v>
      </c>
      <c r="F10" s="3"/>
      <c r="G10" s="1">
        <f>0.15/2</f>
        <v>7.4999999999999997E-2</v>
      </c>
      <c r="H10" s="1"/>
      <c r="I10" s="1">
        <f>0.36/2</f>
        <v>0.18</v>
      </c>
      <c r="J10" s="17"/>
      <c r="K10" s="18"/>
      <c r="L10" s="1">
        <f>7.06/2</f>
        <v>3.53</v>
      </c>
      <c r="M10" s="5"/>
    </row>
    <row r="11" spans="1:14" ht="15.75" thickBot="1">
      <c r="A11" s="280" t="s">
        <v>37</v>
      </c>
      <c r="B11" s="281"/>
      <c r="C11" s="282"/>
      <c r="D11" s="15">
        <v>6</v>
      </c>
      <c r="E11" s="15">
        <v>6</v>
      </c>
      <c r="F11" s="73"/>
      <c r="G11" s="3">
        <f>2.6/100*4</f>
        <v>0.10400000000000001</v>
      </c>
      <c r="H11" s="3">
        <f>15/100*4</f>
        <v>0.6</v>
      </c>
      <c r="I11" s="3">
        <f>3.6/100*4</f>
        <v>0.14400000000000002</v>
      </c>
      <c r="J11" s="17">
        <f>160/100*4</f>
        <v>6.4</v>
      </c>
      <c r="K11" s="18"/>
      <c r="L11" s="3">
        <v>0</v>
      </c>
      <c r="M11" s="5"/>
    </row>
    <row r="12" spans="1:14" ht="15.75" thickBot="1"/>
    <row r="13" spans="1:14" ht="15.75" thickBot="1">
      <c r="A13" s="12" t="s">
        <v>162</v>
      </c>
      <c r="B13" s="13"/>
      <c r="C13" s="13"/>
      <c r="D13" s="134"/>
      <c r="E13" s="21"/>
      <c r="F13" s="66">
        <v>80</v>
      </c>
      <c r="G13" s="3"/>
      <c r="H13" s="3"/>
      <c r="I13" s="3"/>
      <c r="J13" s="122"/>
      <c r="K13" s="123"/>
      <c r="L13" s="3"/>
      <c r="M13" s="5"/>
    </row>
    <row r="14" spans="1:14" ht="15.75" thickBot="1">
      <c r="A14" s="277" t="s">
        <v>163</v>
      </c>
      <c r="B14" s="277"/>
      <c r="C14" s="277"/>
      <c r="D14" s="15">
        <v>100</v>
      </c>
      <c r="E14" s="15">
        <v>100</v>
      </c>
      <c r="F14" s="3"/>
      <c r="G14" s="3">
        <f>19/100*100</f>
        <v>19</v>
      </c>
      <c r="H14" s="3">
        <v>14</v>
      </c>
      <c r="I14" s="3">
        <v>0</v>
      </c>
      <c r="J14" s="130">
        <v>200</v>
      </c>
      <c r="K14" s="123"/>
      <c r="L14" s="3">
        <v>0</v>
      </c>
      <c r="M14" s="5"/>
    </row>
    <row r="15" spans="1:14" ht="15.75" thickBot="1">
      <c r="A15" s="277" t="s">
        <v>63</v>
      </c>
      <c r="B15" s="277"/>
      <c r="C15" s="277"/>
      <c r="D15" s="15">
        <v>4</v>
      </c>
      <c r="E15" s="15">
        <v>4</v>
      </c>
      <c r="F15" s="3"/>
      <c r="G15" s="3">
        <f>2.6/100*4</f>
        <v>0.10400000000000001</v>
      </c>
      <c r="H15" s="3">
        <f>15/100*4</f>
        <v>0.6</v>
      </c>
      <c r="I15" s="3">
        <f>3.6/100*4</f>
        <v>0.14400000000000002</v>
      </c>
      <c r="J15" s="17">
        <f>160/100*4</f>
        <v>6.4</v>
      </c>
      <c r="K15" s="18"/>
      <c r="L15" s="3">
        <v>0</v>
      </c>
      <c r="M15" s="5"/>
    </row>
    <row r="16" spans="1:14" ht="15.75" thickBot="1">
      <c r="A16" s="277" t="s">
        <v>39</v>
      </c>
      <c r="B16" s="277"/>
      <c r="C16" s="277"/>
      <c r="D16" s="15">
        <v>2.1</v>
      </c>
      <c r="E16" s="15">
        <v>2</v>
      </c>
      <c r="F16" s="3"/>
      <c r="G16" s="3">
        <f>6.5/100*2</f>
        <v>0.13</v>
      </c>
      <c r="H16" s="3">
        <f>0.5/100*2</f>
        <v>0.01</v>
      </c>
      <c r="I16" s="3">
        <f>29.9/100*2</f>
        <v>0.59799999999999998</v>
      </c>
      <c r="J16" s="130">
        <f>142/100*2</f>
        <v>2.84</v>
      </c>
      <c r="K16" s="123"/>
      <c r="L16" s="3">
        <f>31.2/100*2</f>
        <v>0.624</v>
      </c>
      <c r="M16" s="5"/>
    </row>
    <row r="17" spans="1:14" ht="15.75" thickBot="1">
      <c r="A17" s="278" t="s">
        <v>145</v>
      </c>
      <c r="B17" s="279"/>
      <c r="C17" s="279"/>
      <c r="D17" s="279"/>
      <c r="E17" s="298"/>
      <c r="F17" s="137">
        <v>70</v>
      </c>
      <c r="G17" s="1"/>
      <c r="H17" s="1"/>
      <c r="I17" s="1"/>
      <c r="J17" s="124"/>
      <c r="K17" s="125"/>
      <c r="L17" s="1"/>
      <c r="M17" s="5"/>
    </row>
    <row r="18" spans="1:14" ht="15.75" thickBot="1">
      <c r="A18" s="280" t="s">
        <v>48</v>
      </c>
      <c r="B18" s="283"/>
      <c r="C18" s="284"/>
      <c r="D18" s="15">
        <v>2</v>
      </c>
      <c r="E18" s="15">
        <v>2</v>
      </c>
      <c r="F18" s="5"/>
      <c r="G18" s="3">
        <f>0.4/100*2</f>
        <v>8.0000000000000002E-3</v>
      </c>
      <c r="H18" s="3">
        <f>78.5/100*2</f>
        <v>1.57</v>
      </c>
      <c r="I18" s="3">
        <f>0.5/100*2</f>
        <v>0.01</v>
      </c>
      <c r="J18" s="17">
        <f>734/100*2</f>
        <v>14.68</v>
      </c>
      <c r="K18" s="18"/>
      <c r="L18" s="3">
        <v>0</v>
      </c>
      <c r="M18" s="5"/>
      <c r="N18">
        <v>2</v>
      </c>
    </row>
    <row r="19" spans="1:14" ht="15.75" thickBot="1">
      <c r="A19" s="277" t="s">
        <v>60</v>
      </c>
      <c r="B19" s="277"/>
      <c r="C19" s="277"/>
      <c r="D19" s="15">
        <v>2</v>
      </c>
      <c r="E19" s="15">
        <v>2</v>
      </c>
      <c r="F19" s="3"/>
      <c r="G19" s="1">
        <v>0</v>
      </c>
      <c r="H19" s="1">
        <f>99.9/100*2</f>
        <v>1.9980000000000002</v>
      </c>
      <c r="I19" s="1">
        <v>0</v>
      </c>
      <c r="J19" s="17">
        <f>900/100*2</f>
        <v>18</v>
      </c>
      <c r="K19" s="18"/>
      <c r="L19" s="1">
        <v>0</v>
      </c>
      <c r="M19" s="5"/>
    </row>
    <row r="20" spans="1:14" ht="15.75" thickBot="1">
      <c r="A20" s="277" t="s">
        <v>54</v>
      </c>
      <c r="B20" s="277"/>
      <c r="C20" s="277"/>
      <c r="D20" s="15">
        <v>7</v>
      </c>
      <c r="E20" s="15">
        <v>5</v>
      </c>
      <c r="F20" s="3"/>
      <c r="G20" s="3">
        <f>0.2/100*5</f>
        <v>0.01</v>
      </c>
      <c r="H20" s="3">
        <v>0</v>
      </c>
      <c r="I20" s="3">
        <f>10/100*5</f>
        <v>0.5</v>
      </c>
      <c r="J20" s="130">
        <f>42/100*5</f>
        <v>2.1</v>
      </c>
      <c r="K20" s="123"/>
      <c r="L20" s="3">
        <f>8.5/100*5</f>
        <v>0.42500000000000004</v>
      </c>
      <c r="M20" s="5"/>
    </row>
    <row r="21" spans="1:14" ht="15.75" thickBot="1">
      <c r="A21" s="280" t="s">
        <v>55</v>
      </c>
      <c r="B21" s="281"/>
      <c r="C21" s="281"/>
      <c r="D21" s="15">
        <v>7</v>
      </c>
      <c r="E21" s="15">
        <v>5</v>
      </c>
      <c r="F21" s="3"/>
      <c r="G21" s="3">
        <f>1/100*5</f>
        <v>0.05</v>
      </c>
      <c r="H21" s="3">
        <v>0</v>
      </c>
      <c r="I21" s="3">
        <f>6.1/100*5</f>
        <v>0.30499999999999999</v>
      </c>
      <c r="J21" s="130">
        <f>29/100*5</f>
        <v>1.45</v>
      </c>
      <c r="K21" s="123"/>
      <c r="L21" s="3">
        <f>4/100*5</f>
        <v>0.2</v>
      </c>
      <c r="M21" s="5"/>
    </row>
    <row r="22" spans="1:14" ht="15.75" thickBot="1">
      <c r="A22" s="118"/>
      <c r="B22" s="119" t="s">
        <v>51</v>
      </c>
      <c r="C22" s="129"/>
      <c r="D22" s="15">
        <v>12</v>
      </c>
      <c r="E22" s="15">
        <v>12</v>
      </c>
      <c r="F22" s="5"/>
      <c r="G22" s="3">
        <f>10.3/100*12</f>
        <v>1.2360000000000002</v>
      </c>
      <c r="H22" s="3">
        <f>1.1/100*12</f>
        <v>0.13200000000000001</v>
      </c>
      <c r="I22" s="3">
        <f>70.6/100*12</f>
        <v>8.4719999999999995</v>
      </c>
      <c r="J22" s="130">
        <f>334/100*12</f>
        <v>40.08</v>
      </c>
      <c r="K22" s="123"/>
      <c r="L22" s="3">
        <v>0</v>
      </c>
      <c r="M22" s="5"/>
    </row>
    <row r="23" spans="1:14" ht="15.75" thickBot="1">
      <c r="A23" s="280" t="s">
        <v>78</v>
      </c>
      <c r="B23" s="283"/>
      <c r="C23" s="284"/>
      <c r="D23" s="15">
        <v>7</v>
      </c>
      <c r="E23" s="15">
        <v>7</v>
      </c>
      <c r="F23" s="5"/>
      <c r="G23" s="3">
        <f>2.2/100*7</f>
        <v>0.15400000000000003</v>
      </c>
      <c r="H23" s="3">
        <v>0</v>
      </c>
      <c r="I23" s="3">
        <f>15.8/100*7</f>
        <v>1.1060000000000001</v>
      </c>
      <c r="J23" s="130">
        <f>63.2/100*7</f>
        <v>4.4240000000000004</v>
      </c>
      <c r="K23" s="123"/>
      <c r="L23" s="3">
        <f>26/100*7</f>
        <v>1.82</v>
      </c>
      <c r="M23" s="5"/>
    </row>
    <row r="24" spans="1:14" ht="15.75" thickBot="1">
      <c r="A24" s="277" t="s">
        <v>72</v>
      </c>
      <c r="B24" s="277"/>
      <c r="C24" s="277"/>
      <c r="D24" s="15">
        <v>3</v>
      </c>
      <c r="E24" s="15">
        <v>2.8</v>
      </c>
      <c r="F24" s="3"/>
      <c r="G24" s="1">
        <f>0.8/1400*2.8</f>
        <v>1.6000000000000001E-3</v>
      </c>
      <c r="H24" s="1">
        <v>0</v>
      </c>
      <c r="I24" s="1">
        <f>3.3/100*2.8</f>
        <v>9.2399999999999996E-2</v>
      </c>
      <c r="J24" s="17">
        <f>17/100*2.8</f>
        <v>0.47599999999999998</v>
      </c>
      <c r="K24" s="18"/>
      <c r="L24" s="1">
        <f>7.06/2</f>
        <v>3.53</v>
      </c>
      <c r="M24" s="5"/>
    </row>
    <row r="25" spans="1:14" ht="15.75" thickBot="1"/>
    <row r="26" spans="1:14" ht="15.75" thickBot="1">
      <c r="A26" s="278" t="s">
        <v>128</v>
      </c>
      <c r="B26" s="279"/>
      <c r="C26" s="279"/>
      <c r="D26" s="134"/>
      <c r="E26" s="21"/>
      <c r="F26" s="137">
        <v>60</v>
      </c>
      <c r="G26" s="3"/>
      <c r="H26" s="3"/>
      <c r="I26" s="3"/>
      <c r="J26" s="17"/>
      <c r="K26" s="18"/>
      <c r="L26" s="3"/>
      <c r="M26" s="5"/>
    </row>
    <row r="27" spans="1:14" ht="15.75" thickBot="1">
      <c r="A27" s="280" t="s">
        <v>85</v>
      </c>
      <c r="B27" s="281"/>
      <c r="C27" s="282"/>
      <c r="D27" s="15">
        <v>80</v>
      </c>
      <c r="E27" s="15">
        <v>60</v>
      </c>
      <c r="F27" s="72"/>
      <c r="G27" s="3">
        <f>15.9/100*60</f>
        <v>9.5400000000000009</v>
      </c>
      <c r="H27" s="3">
        <f>0.7/100*60</f>
        <v>0.41999999999999993</v>
      </c>
      <c r="I27" s="3">
        <v>0</v>
      </c>
      <c r="J27" s="130">
        <f>70/100*60</f>
        <v>42</v>
      </c>
      <c r="K27" s="123"/>
      <c r="L27" s="3">
        <v>0</v>
      </c>
      <c r="M27" s="5"/>
      <c r="N27">
        <v>3</v>
      </c>
    </row>
    <row r="28" spans="1:14" ht="15.75" thickBot="1">
      <c r="A28" s="280" t="s">
        <v>63</v>
      </c>
      <c r="B28" s="281"/>
      <c r="C28" s="282"/>
      <c r="D28" s="15">
        <v>6</v>
      </c>
      <c r="E28" s="15">
        <v>6</v>
      </c>
      <c r="F28" s="73"/>
      <c r="G28" s="3">
        <f>2.6/100*4</f>
        <v>0.10400000000000001</v>
      </c>
      <c r="H28" s="3">
        <f>15/100*4</f>
        <v>0.6</v>
      </c>
      <c r="I28" s="3">
        <f>3.6/100*4</f>
        <v>0.14400000000000002</v>
      </c>
      <c r="J28" s="17">
        <f>160/100*4</f>
        <v>6.4</v>
      </c>
      <c r="K28" s="18"/>
      <c r="L28" s="3">
        <v>0</v>
      </c>
      <c r="M28" s="5"/>
    </row>
    <row r="29" spans="1:14" ht="15.75" thickBot="1"/>
    <row r="30" spans="1:14" ht="15.75" thickBot="1">
      <c r="A30" s="278" t="s">
        <v>143</v>
      </c>
      <c r="B30" s="279"/>
      <c r="C30" s="279"/>
      <c r="D30" s="134"/>
      <c r="E30" s="21"/>
      <c r="F30" s="66">
        <v>80</v>
      </c>
      <c r="G30" s="3"/>
      <c r="H30" s="3"/>
      <c r="I30" s="3"/>
      <c r="J30" s="122"/>
      <c r="K30" s="123"/>
      <c r="L30" s="3"/>
      <c r="M30" s="5"/>
    </row>
    <row r="31" spans="1:14" ht="15.75" thickBot="1">
      <c r="A31" s="280" t="s">
        <v>91</v>
      </c>
      <c r="B31" s="281"/>
      <c r="C31" s="282"/>
      <c r="D31" s="120">
        <v>60</v>
      </c>
      <c r="E31" s="120">
        <v>60</v>
      </c>
      <c r="F31" s="4"/>
      <c r="G31" s="4">
        <f>18.9/100*60</f>
        <v>11.339999999999998</v>
      </c>
      <c r="H31" s="4">
        <f>12.4/100*60</f>
        <v>7.4399999999999995</v>
      </c>
      <c r="I31" s="4">
        <v>0</v>
      </c>
      <c r="J31" s="17">
        <f>187/100*60</f>
        <v>112.2</v>
      </c>
      <c r="K31" s="127"/>
      <c r="L31" s="4">
        <v>0</v>
      </c>
      <c r="M31" s="68"/>
    </row>
    <row r="32" spans="1:14" ht="15.75" thickBot="1">
      <c r="A32" s="277" t="s">
        <v>144</v>
      </c>
      <c r="B32" s="277"/>
      <c r="C32" s="277"/>
      <c r="D32" s="120">
        <v>2.1</v>
      </c>
      <c r="E32" s="120">
        <v>2.1</v>
      </c>
      <c r="F32" s="4"/>
      <c r="G32" s="4">
        <v>0</v>
      </c>
      <c r="H32" s="4">
        <f>99.9/100*2</f>
        <v>1.9980000000000002</v>
      </c>
      <c r="I32" s="4">
        <v>0</v>
      </c>
      <c r="J32" s="130">
        <f>900/100*2</f>
        <v>18</v>
      </c>
      <c r="K32" s="123"/>
      <c r="L32" s="4">
        <v>0</v>
      </c>
      <c r="M32" s="68"/>
    </row>
    <row r="33" spans="1:14" ht="15.75" thickBot="1">
      <c r="A33" s="280" t="s">
        <v>50</v>
      </c>
      <c r="B33" s="283"/>
      <c r="C33" s="284"/>
      <c r="D33" s="120">
        <v>5</v>
      </c>
      <c r="E33" s="120">
        <v>5</v>
      </c>
      <c r="F33" s="4"/>
      <c r="G33" s="4">
        <f>12.7/100*5</f>
        <v>0.63500000000000001</v>
      </c>
      <c r="H33" s="4">
        <f>11.5/100*5</f>
        <v>0.57500000000000007</v>
      </c>
      <c r="I33" s="4">
        <f>0.7/100*5</f>
        <v>3.4999999999999996E-2</v>
      </c>
      <c r="J33" s="130">
        <f>241/100*5</f>
        <v>12.05</v>
      </c>
      <c r="K33" s="123"/>
      <c r="L33" s="4">
        <v>0</v>
      </c>
      <c r="M33" s="68"/>
      <c r="N33">
        <v>4</v>
      </c>
    </row>
    <row r="34" spans="1:14" ht="15.75" thickBot="1">
      <c r="A34" s="277" t="s">
        <v>54</v>
      </c>
      <c r="B34" s="277"/>
      <c r="C34" s="277"/>
      <c r="D34" s="120">
        <v>10</v>
      </c>
      <c r="E34" s="120">
        <v>9.6</v>
      </c>
      <c r="F34" s="4"/>
      <c r="G34" s="4">
        <f>0.2/100*9.6</f>
        <v>1.9199999999999998E-2</v>
      </c>
      <c r="H34" s="4">
        <v>0</v>
      </c>
      <c r="I34" s="4">
        <f>10/100*9.6</f>
        <v>0.96</v>
      </c>
      <c r="J34" s="130">
        <f>42/100*9.6</f>
        <v>4.032</v>
      </c>
      <c r="K34" s="123"/>
      <c r="L34" s="4">
        <f>8.5/100*9.6</f>
        <v>0.81600000000000006</v>
      </c>
      <c r="M34" s="68"/>
    </row>
    <row r="35" spans="1:14" ht="15.75" thickBot="1">
      <c r="A35" s="280" t="s">
        <v>68</v>
      </c>
      <c r="B35" s="281"/>
      <c r="C35" s="282"/>
      <c r="D35" s="120">
        <v>2</v>
      </c>
      <c r="E35" s="120">
        <v>2</v>
      </c>
      <c r="F35" s="4"/>
      <c r="G35" s="4">
        <f>6.5/100*2</f>
        <v>0.13</v>
      </c>
      <c r="H35" s="4">
        <f>0.5/100*2</f>
        <v>0.01</v>
      </c>
      <c r="I35" s="4">
        <f>29.9/100*2</f>
        <v>0.59799999999999998</v>
      </c>
      <c r="J35" s="17">
        <f>142/100*2</f>
        <v>2.84</v>
      </c>
      <c r="K35" s="127"/>
      <c r="L35" s="4">
        <f>31.2/100*2</f>
        <v>0.624</v>
      </c>
      <c r="M35" s="68"/>
    </row>
    <row r="36" spans="1:14" ht="15.75" thickBot="1"/>
    <row r="37" spans="1:14" ht="15.75" thickBot="1">
      <c r="A37" s="278" t="s">
        <v>161</v>
      </c>
      <c r="B37" s="279"/>
      <c r="C37" s="279"/>
      <c r="D37" s="134"/>
      <c r="E37" s="21"/>
      <c r="F37" s="137">
        <v>150</v>
      </c>
      <c r="G37" s="3"/>
      <c r="H37" s="3"/>
      <c r="I37" s="3"/>
      <c r="J37" s="17"/>
      <c r="K37" s="18"/>
      <c r="L37" s="3"/>
      <c r="M37" s="5"/>
    </row>
    <row r="38" spans="1:14" ht="15.75" thickBot="1">
      <c r="A38" s="280" t="s">
        <v>69</v>
      </c>
      <c r="B38" s="281"/>
      <c r="C38" s="281"/>
      <c r="D38" s="15">
        <v>80</v>
      </c>
      <c r="E38" s="15">
        <v>80</v>
      </c>
      <c r="F38" s="5"/>
      <c r="G38" s="3">
        <f>18.9/100*80</f>
        <v>15.119999999999997</v>
      </c>
      <c r="H38" s="3">
        <f>12.4/100*80</f>
        <v>9.92</v>
      </c>
      <c r="I38" s="3">
        <v>0</v>
      </c>
      <c r="J38" s="17">
        <f>187/100*80</f>
        <v>149.60000000000002</v>
      </c>
      <c r="K38" s="127"/>
      <c r="L38" s="3">
        <v>0</v>
      </c>
      <c r="M38" s="5"/>
    </row>
    <row r="39" spans="1:14" ht="15.75" thickBot="1">
      <c r="A39" s="280" t="s">
        <v>53</v>
      </c>
      <c r="B39" s="283"/>
      <c r="C39" s="284"/>
      <c r="D39" s="15">
        <v>65</v>
      </c>
      <c r="E39" s="15">
        <v>50</v>
      </c>
      <c r="F39" s="5"/>
      <c r="G39" s="3">
        <f>1.2/100*50</f>
        <v>0.6</v>
      </c>
      <c r="H39" s="3">
        <v>0</v>
      </c>
      <c r="I39" s="3">
        <f>4.1/100*50</f>
        <v>2.0499999999999998</v>
      </c>
      <c r="J39" s="130">
        <f>22/100*50</f>
        <v>11</v>
      </c>
      <c r="K39" s="123"/>
      <c r="L39" s="3">
        <f>24/100*50</f>
        <v>12</v>
      </c>
      <c r="M39" s="5"/>
    </row>
    <row r="40" spans="1:14" ht="15.75" thickBot="1">
      <c r="A40" s="277" t="s">
        <v>64</v>
      </c>
      <c r="B40" s="277"/>
      <c r="C40" s="277"/>
      <c r="D40" s="15">
        <v>10</v>
      </c>
      <c r="E40" s="15">
        <v>10</v>
      </c>
      <c r="F40" s="3"/>
      <c r="G40" s="3">
        <f>7/100*10</f>
        <v>0.70000000000000007</v>
      </c>
      <c r="H40" s="3">
        <f>1/100*10</f>
        <v>0.1</v>
      </c>
      <c r="I40" s="17">
        <f>74/100*10</f>
        <v>7.4</v>
      </c>
      <c r="J40" s="17">
        <f>330/100*10</f>
        <v>33</v>
      </c>
      <c r="K40" s="127"/>
      <c r="L40" s="3">
        <v>0</v>
      </c>
      <c r="M40" s="5"/>
      <c r="N40">
        <v>5</v>
      </c>
    </row>
    <row r="41" spans="1:14" ht="15.75" thickBot="1">
      <c r="A41" s="118"/>
      <c r="B41" s="119" t="s">
        <v>54</v>
      </c>
      <c r="C41" s="119"/>
      <c r="D41" s="15">
        <v>12</v>
      </c>
      <c r="E41" s="15">
        <v>10</v>
      </c>
      <c r="F41" s="3"/>
      <c r="G41" s="3">
        <f>0.2/100*10</f>
        <v>0.02</v>
      </c>
      <c r="H41" s="3">
        <v>0</v>
      </c>
      <c r="I41" s="3">
        <f>10/100*10</f>
        <v>1</v>
      </c>
      <c r="J41" s="130">
        <f>42/100*10</f>
        <v>4.2</v>
      </c>
      <c r="K41" s="123"/>
      <c r="L41" s="3">
        <f>8.5/100*10</f>
        <v>0.85000000000000009</v>
      </c>
      <c r="M41" s="5"/>
    </row>
    <row r="42" spans="1:14" ht="15.75" thickBot="1">
      <c r="A42" s="118"/>
      <c r="B42" s="119" t="s">
        <v>55</v>
      </c>
      <c r="C42" s="119"/>
      <c r="D42" s="15">
        <v>16</v>
      </c>
      <c r="E42" s="15">
        <v>10</v>
      </c>
      <c r="F42" s="3"/>
      <c r="G42" s="3">
        <f>1/100*10</f>
        <v>0.1</v>
      </c>
      <c r="H42" s="3">
        <v>0</v>
      </c>
      <c r="I42" s="3">
        <f>6.1/100*10</f>
        <v>0.61</v>
      </c>
      <c r="J42" s="130">
        <f>29/100*10</f>
        <v>2.9</v>
      </c>
      <c r="K42" s="123"/>
      <c r="L42" s="3">
        <f>4/100*10</f>
        <v>0.4</v>
      </c>
      <c r="M42" s="5"/>
    </row>
    <row r="43" spans="1:14" ht="15.75" thickBot="1">
      <c r="A43" s="277" t="s">
        <v>50</v>
      </c>
      <c r="B43" s="277"/>
      <c r="C43" s="277"/>
      <c r="D43" s="15">
        <v>5</v>
      </c>
      <c r="E43" s="15">
        <v>5</v>
      </c>
      <c r="F43" s="3"/>
      <c r="G43" s="3">
        <f>12.7/100*5</f>
        <v>0.63500000000000001</v>
      </c>
      <c r="H43" s="3">
        <f>11.5/100*5</f>
        <v>0.57500000000000007</v>
      </c>
      <c r="I43" s="3">
        <f>0.7/100*5</f>
        <v>3.4999999999999996E-2</v>
      </c>
      <c r="J43" s="212">
        <f>241/100*5</f>
        <v>12.05</v>
      </c>
      <c r="K43" s="20"/>
      <c r="L43" s="3">
        <v>0</v>
      </c>
      <c r="M43" s="5"/>
    </row>
    <row r="44" spans="1:14" ht="15.75" thickBot="1">
      <c r="A44" s="277" t="s">
        <v>60</v>
      </c>
      <c r="B44" s="277"/>
      <c r="C44" s="277"/>
      <c r="D44" s="15">
        <v>3</v>
      </c>
      <c r="E44" s="15">
        <v>3</v>
      </c>
      <c r="F44" s="3"/>
      <c r="G44" s="1">
        <v>0</v>
      </c>
      <c r="H44" s="1">
        <f>99.9/100*3</f>
        <v>2.9970000000000003</v>
      </c>
      <c r="I44" s="1">
        <v>0</v>
      </c>
      <c r="J44" s="17">
        <f>900/100*3</f>
        <v>27</v>
      </c>
      <c r="K44" s="127"/>
      <c r="L44" s="1">
        <v>0</v>
      </c>
      <c r="M44" s="5"/>
    </row>
    <row r="45" spans="1:14" ht="15.75" thickBot="1"/>
    <row r="46" spans="1:14" ht="15.75" thickBot="1">
      <c r="A46" s="278" t="s">
        <v>159</v>
      </c>
      <c r="B46" s="279"/>
      <c r="C46" s="279"/>
      <c r="D46" s="134"/>
      <c r="E46" s="21"/>
      <c r="F46" s="66">
        <v>80</v>
      </c>
      <c r="G46" s="3"/>
      <c r="H46" s="3"/>
      <c r="I46" s="3"/>
      <c r="J46" s="122"/>
      <c r="K46" s="123"/>
      <c r="L46" s="3"/>
      <c r="M46" s="5"/>
    </row>
    <row r="47" spans="1:14" ht="15.75" thickBot="1">
      <c r="A47" s="280" t="s">
        <v>91</v>
      </c>
      <c r="B47" s="281"/>
      <c r="C47" s="282"/>
      <c r="D47" s="15">
        <v>80</v>
      </c>
      <c r="E47" s="15">
        <v>80</v>
      </c>
      <c r="F47" s="3"/>
      <c r="G47" s="3">
        <f>18.9/100*80</f>
        <v>15.119999999999997</v>
      </c>
      <c r="H47" s="3">
        <f>12.4/100*80</f>
        <v>9.92</v>
      </c>
      <c r="I47" s="3">
        <v>0</v>
      </c>
      <c r="J47" s="17">
        <f>187/100*80</f>
        <v>149.60000000000002</v>
      </c>
      <c r="K47" s="18"/>
      <c r="L47" s="3">
        <v>0</v>
      </c>
      <c r="M47" s="5"/>
    </row>
    <row r="48" spans="1:14" ht="15.75" thickBot="1">
      <c r="A48" s="280" t="s">
        <v>64</v>
      </c>
      <c r="B48" s="281"/>
      <c r="C48" s="282"/>
      <c r="D48" s="15">
        <v>10</v>
      </c>
      <c r="E48" s="15">
        <v>10</v>
      </c>
      <c r="F48" s="3"/>
      <c r="G48" s="3">
        <f>7/100*10</f>
        <v>0.70000000000000007</v>
      </c>
      <c r="H48" s="3">
        <f>1/100*10</f>
        <v>0.1</v>
      </c>
      <c r="I48" s="17">
        <f>74/100*10</f>
        <v>7.4</v>
      </c>
      <c r="J48" s="17">
        <f>330/100*10</f>
        <v>33</v>
      </c>
      <c r="K48" s="18"/>
      <c r="L48" s="3">
        <v>0</v>
      </c>
      <c r="M48" s="5"/>
    </row>
    <row r="49" spans="1:14" ht="15.75" thickBot="1">
      <c r="A49" s="280" t="s">
        <v>50</v>
      </c>
      <c r="B49" s="283"/>
      <c r="C49" s="284"/>
      <c r="D49" s="15">
        <v>5</v>
      </c>
      <c r="E49" s="15">
        <v>5</v>
      </c>
      <c r="F49" s="3"/>
      <c r="G49" s="3">
        <f>12.7/100*5</f>
        <v>0.63500000000000001</v>
      </c>
      <c r="H49" s="3">
        <f>11.5/100*5</f>
        <v>0.57500000000000007</v>
      </c>
      <c r="I49" s="3">
        <f>0.7/100*5</f>
        <v>3.4999999999999996E-2</v>
      </c>
      <c r="J49" s="130">
        <f>241/100*5</f>
        <v>12.05</v>
      </c>
      <c r="K49" s="20"/>
      <c r="L49" s="3">
        <v>0</v>
      </c>
      <c r="M49" s="5"/>
      <c r="N49">
        <v>6</v>
      </c>
    </row>
    <row r="50" spans="1:14" ht="15.75" thickBot="1">
      <c r="A50" s="277" t="s">
        <v>54</v>
      </c>
      <c r="B50" s="277"/>
      <c r="C50" s="277"/>
      <c r="D50" s="15">
        <v>12</v>
      </c>
      <c r="E50" s="15">
        <v>10</v>
      </c>
      <c r="F50" s="3"/>
      <c r="G50" s="3">
        <f>0.2/100*10</f>
        <v>0.02</v>
      </c>
      <c r="H50" s="3">
        <v>0</v>
      </c>
      <c r="I50" s="3">
        <f>10/100*10</f>
        <v>1</v>
      </c>
      <c r="J50" s="130">
        <f>42/100*10</f>
        <v>4.2</v>
      </c>
      <c r="K50" s="123"/>
      <c r="L50" s="3">
        <f>8.5/100*10</f>
        <v>0.85000000000000009</v>
      </c>
      <c r="M50" s="5"/>
    </row>
    <row r="51" spans="1:14" ht="15.75" thickBot="1">
      <c r="A51" s="280" t="s">
        <v>68</v>
      </c>
      <c r="B51" s="281"/>
      <c r="C51" s="282"/>
      <c r="D51" s="15">
        <v>2</v>
      </c>
      <c r="E51" s="15">
        <v>2</v>
      </c>
      <c r="F51" s="3"/>
      <c r="G51" s="3">
        <f>6.5/100*2</f>
        <v>0.13</v>
      </c>
      <c r="H51" s="3">
        <f>0.5/100*2</f>
        <v>0.01</v>
      </c>
      <c r="I51" s="3">
        <f>29.9/100*2</f>
        <v>0.59799999999999998</v>
      </c>
      <c r="J51" s="17">
        <f>142/100*2</f>
        <v>2.84</v>
      </c>
      <c r="K51" s="18"/>
      <c r="L51" s="3">
        <f>31.2/100*2</f>
        <v>0.624</v>
      </c>
      <c r="M51" s="5"/>
    </row>
    <row r="52" spans="1:14" ht="15.75" thickBot="1"/>
    <row r="53" spans="1:14" ht="15.75" thickBot="1">
      <c r="A53" s="278" t="s">
        <v>160</v>
      </c>
      <c r="B53" s="279"/>
      <c r="C53" s="279"/>
      <c r="D53" s="119"/>
      <c r="E53" s="121"/>
      <c r="F53" s="65">
        <v>150</v>
      </c>
      <c r="G53" s="120"/>
      <c r="H53" s="120"/>
      <c r="I53" s="120"/>
      <c r="J53" s="89"/>
      <c r="K53" s="90"/>
      <c r="L53" s="120"/>
      <c r="M53" s="120"/>
    </row>
    <row r="54" spans="1:14" ht="15.75" thickBot="1">
      <c r="A54" s="280" t="s">
        <v>48</v>
      </c>
      <c r="B54" s="283"/>
      <c r="C54" s="284"/>
      <c r="D54" s="15">
        <v>3</v>
      </c>
      <c r="E54" s="15">
        <v>3</v>
      </c>
      <c r="F54" s="5"/>
      <c r="G54" s="3">
        <f>0.4/100*3</f>
        <v>1.2E-2</v>
      </c>
      <c r="H54" s="3">
        <f>78.5/100*3</f>
        <v>2.355</v>
      </c>
      <c r="I54" s="3">
        <f>0.5/100*3</f>
        <v>1.4999999999999999E-2</v>
      </c>
      <c r="J54" s="17">
        <f>734/100*3</f>
        <v>22.02</v>
      </c>
      <c r="K54" s="18"/>
      <c r="L54" s="3">
        <v>0</v>
      </c>
      <c r="M54" s="5"/>
    </row>
    <row r="55" spans="1:14" ht="15.75" thickBot="1">
      <c r="A55" s="277" t="s">
        <v>60</v>
      </c>
      <c r="B55" s="277"/>
      <c r="C55" s="277"/>
      <c r="D55" s="15">
        <v>3</v>
      </c>
      <c r="E55" s="15">
        <v>3</v>
      </c>
      <c r="F55" s="3"/>
      <c r="G55" s="1">
        <v>0</v>
      </c>
      <c r="H55" s="1">
        <f>99.9/100*3</f>
        <v>2.9970000000000003</v>
      </c>
      <c r="I55" s="1">
        <v>0</v>
      </c>
      <c r="J55" s="17">
        <f>900/100*3</f>
        <v>27</v>
      </c>
      <c r="K55" s="18"/>
      <c r="L55" s="1">
        <v>0</v>
      </c>
      <c r="M55" s="5"/>
    </row>
    <row r="56" spans="1:14" ht="15.75" thickBot="1">
      <c r="A56" s="277" t="s">
        <v>54</v>
      </c>
      <c r="B56" s="277"/>
      <c r="C56" s="277"/>
      <c r="D56" s="15">
        <v>12</v>
      </c>
      <c r="E56" s="15">
        <v>10</v>
      </c>
      <c r="F56" s="3"/>
      <c r="G56" s="3">
        <f>0.2/100*10</f>
        <v>0.02</v>
      </c>
      <c r="H56" s="3">
        <v>0</v>
      </c>
      <c r="I56" s="3">
        <f>10/100*10</f>
        <v>1</v>
      </c>
      <c r="J56" s="130">
        <f>42/100*10</f>
        <v>4.2</v>
      </c>
      <c r="K56" s="123"/>
      <c r="L56" s="3">
        <f>8.5/100*10</f>
        <v>0.85000000000000009</v>
      </c>
      <c r="M56" s="5"/>
    </row>
    <row r="57" spans="1:14" ht="15.75" thickBot="1">
      <c r="A57" s="280" t="s">
        <v>55</v>
      </c>
      <c r="B57" s="281"/>
      <c r="C57" s="281"/>
      <c r="D57" s="15">
        <v>16</v>
      </c>
      <c r="E57" s="15">
        <v>10</v>
      </c>
      <c r="F57" s="3"/>
      <c r="G57" s="3">
        <f>1/100*10</f>
        <v>0.1</v>
      </c>
      <c r="H57" s="3">
        <v>0</v>
      </c>
      <c r="I57" s="3">
        <f>6.1/100*10</f>
        <v>0.61</v>
      </c>
      <c r="J57" s="130">
        <f>29/100*10</f>
        <v>2.9</v>
      </c>
      <c r="K57" s="123"/>
      <c r="L57" s="3">
        <f>4/100*10</f>
        <v>0.4</v>
      </c>
      <c r="M57" s="5"/>
      <c r="N57">
        <v>7</v>
      </c>
    </row>
    <row r="58" spans="1:14" ht="15.75" thickBot="1">
      <c r="A58" s="280" t="s">
        <v>91</v>
      </c>
      <c r="B58" s="281"/>
      <c r="C58" s="282"/>
      <c r="D58" s="15">
        <v>80</v>
      </c>
      <c r="E58" s="15">
        <v>80</v>
      </c>
      <c r="F58" s="3"/>
      <c r="G58" s="3">
        <f>18.9/100*80</f>
        <v>15.119999999999997</v>
      </c>
      <c r="H58" s="3">
        <f>12.4/100*80</f>
        <v>9.92</v>
      </c>
      <c r="I58" s="3">
        <v>0</v>
      </c>
      <c r="J58" s="17">
        <f>187/100*80</f>
        <v>149.60000000000002</v>
      </c>
      <c r="K58" s="127"/>
      <c r="L58" s="3">
        <v>0</v>
      </c>
      <c r="M58" s="5"/>
    </row>
    <row r="59" spans="1:14" ht="15.75" thickBot="1">
      <c r="A59" s="280" t="s">
        <v>50</v>
      </c>
      <c r="B59" s="283"/>
      <c r="C59" s="284"/>
      <c r="D59" s="15">
        <v>19</v>
      </c>
      <c r="E59" s="15">
        <v>19</v>
      </c>
      <c r="F59" s="3"/>
      <c r="G59" s="3">
        <f>12.7/100*19</f>
        <v>2.4130000000000003</v>
      </c>
      <c r="H59" s="3">
        <f>11.5/100*19</f>
        <v>2.1850000000000001</v>
      </c>
      <c r="I59" s="3">
        <f>0.7/100*19</f>
        <v>0.13299999999999998</v>
      </c>
      <c r="J59" s="130">
        <f>241/100*19</f>
        <v>45.790000000000006</v>
      </c>
      <c r="K59" s="123"/>
      <c r="L59" s="3">
        <v>0</v>
      </c>
      <c r="M59" s="5"/>
    </row>
    <row r="60" spans="1:14" ht="15.75" thickBot="1">
      <c r="A60" s="118"/>
      <c r="B60" s="119" t="s">
        <v>64</v>
      </c>
      <c r="C60" s="129"/>
      <c r="D60" s="15">
        <v>20</v>
      </c>
      <c r="E60" s="15">
        <v>20</v>
      </c>
      <c r="F60" s="3"/>
      <c r="G60" s="3">
        <f>7/100*20</f>
        <v>1.4000000000000001</v>
      </c>
      <c r="H60" s="3">
        <f>1/100*20</f>
        <v>0.2</v>
      </c>
      <c r="I60" s="17">
        <f>74/100*20</f>
        <v>14.8</v>
      </c>
      <c r="J60" s="17">
        <f>330/100*20</f>
        <v>66</v>
      </c>
      <c r="K60" s="127"/>
      <c r="L60" s="3">
        <v>0</v>
      </c>
      <c r="M60" s="5"/>
    </row>
    <row r="61" spans="1:14" ht="15.75" thickBot="1">
      <c r="A61" s="280" t="s">
        <v>68</v>
      </c>
      <c r="B61" s="281"/>
      <c r="C61" s="282"/>
      <c r="D61" s="15">
        <v>2</v>
      </c>
      <c r="E61" s="15">
        <v>2</v>
      </c>
      <c r="F61" s="3"/>
      <c r="G61" s="3">
        <f>6.5/100*2</f>
        <v>0.13</v>
      </c>
      <c r="H61" s="3">
        <f>0.5/100*2</f>
        <v>0.01</v>
      </c>
      <c r="I61" s="3">
        <f>29.9/100*2</f>
        <v>0.59799999999999998</v>
      </c>
      <c r="J61" s="17">
        <f>142/100*2</f>
        <v>2.84</v>
      </c>
      <c r="K61" s="127"/>
      <c r="L61" s="3">
        <f>31.2/100*2</f>
        <v>0.624</v>
      </c>
      <c r="M61" s="5"/>
    </row>
    <row r="62" spans="1:14" ht="15.75" thickBot="1">
      <c r="J62" s="27"/>
    </row>
    <row r="63" spans="1:14" ht="15.75" thickBot="1">
      <c r="A63" s="278" t="s">
        <v>205</v>
      </c>
      <c r="B63" s="279"/>
      <c r="C63" s="279"/>
      <c r="D63" s="154"/>
      <c r="E63" s="21"/>
      <c r="F63" s="66">
        <v>150</v>
      </c>
      <c r="G63" s="3"/>
      <c r="H63" s="3"/>
      <c r="I63" s="3"/>
      <c r="J63" s="148"/>
      <c r="K63" s="149"/>
      <c r="L63" s="3"/>
      <c r="M63" s="5"/>
    </row>
    <row r="64" spans="1:14" ht="15.75" thickBot="1">
      <c r="A64" s="280" t="s">
        <v>85</v>
      </c>
      <c r="B64" s="281"/>
      <c r="C64" s="282"/>
      <c r="D64" s="15">
        <v>100</v>
      </c>
      <c r="E64" s="15">
        <v>95</v>
      </c>
      <c r="F64" s="3"/>
      <c r="G64" s="3">
        <f>15.9/100*95</f>
        <v>15.105</v>
      </c>
      <c r="H64" s="3">
        <f>0.7/100*95</f>
        <v>0.66499999999999992</v>
      </c>
      <c r="I64" s="3">
        <v>0</v>
      </c>
      <c r="J64" s="153">
        <f>70/100*95</f>
        <v>66.5</v>
      </c>
      <c r="K64" s="149"/>
      <c r="L64" s="3">
        <v>0</v>
      </c>
      <c r="M64" s="5"/>
    </row>
    <row r="65" spans="1:13" ht="15.75" thickBot="1">
      <c r="A65" s="280" t="s">
        <v>48</v>
      </c>
      <c r="B65" s="283"/>
      <c r="C65" s="284"/>
      <c r="D65" s="15">
        <v>2</v>
      </c>
      <c r="E65" s="15">
        <v>2</v>
      </c>
      <c r="F65" s="5"/>
      <c r="G65" s="3">
        <f>0.4/100*2</f>
        <v>8.0000000000000002E-3</v>
      </c>
      <c r="H65" s="3">
        <f>78.5/100*2</f>
        <v>1.57</v>
      </c>
      <c r="I65" s="3">
        <f>0.5/100*2</f>
        <v>0.01</v>
      </c>
      <c r="J65" s="155">
        <f>734/100*2</f>
        <v>14.68</v>
      </c>
      <c r="K65" s="156"/>
      <c r="L65" s="3">
        <v>0</v>
      </c>
      <c r="M65" s="5"/>
    </row>
    <row r="66" spans="1:13" ht="15.75" thickBot="1">
      <c r="A66" s="277" t="s">
        <v>60</v>
      </c>
      <c r="B66" s="277"/>
      <c r="C66" s="277"/>
      <c r="D66" s="15">
        <v>3</v>
      </c>
      <c r="E66" s="15">
        <v>3</v>
      </c>
      <c r="F66" s="3"/>
      <c r="G66" s="1">
        <v>0</v>
      </c>
      <c r="H66" s="1">
        <f>99.9/100*3</f>
        <v>2.9970000000000003</v>
      </c>
      <c r="I66" s="1">
        <v>0</v>
      </c>
      <c r="J66" s="155">
        <f>900/100*3</f>
        <v>27</v>
      </c>
      <c r="K66" s="156"/>
      <c r="L66" s="1">
        <v>0</v>
      </c>
      <c r="M66" s="5"/>
    </row>
    <row r="67" spans="1:13" ht="15.75" thickBot="1">
      <c r="A67" s="277" t="s">
        <v>54</v>
      </c>
      <c r="B67" s="277"/>
      <c r="C67" s="277"/>
      <c r="D67" s="15">
        <v>12</v>
      </c>
      <c r="E67" s="15">
        <v>10</v>
      </c>
      <c r="F67" s="3"/>
      <c r="G67" s="3">
        <f>0.2/100*10</f>
        <v>0.02</v>
      </c>
      <c r="H67" s="3">
        <v>0</v>
      </c>
      <c r="I67" s="3">
        <f>10/100*10</f>
        <v>1</v>
      </c>
      <c r="J67" s="153">
        <f>42/100*10</f>
        <v>4.2</v>
      </c>
      <c r="K67" s="149"/>
      <c r="L67" s="3">
        <f>8.5/100*10</f>
        <v>0.85000000000000009</v>
      </c>
      <c r="M67" s="5"/>
    </row>
    <row r="68" spans="1:13" ht="15.75" thickBot="1">
      <c r="A68" s="280" t="s">
        <v>55</v>
      </c>
      <c r="B68" s="281"/>
      <c r="C68" s="281"/>
      <c r="D68" s="15">
        <v>16</v>
      </c>
      <c r="E68" s="15">
        <v>10</v>
      </c>
      <c r="F68" s="3"/>
      <c r="G68" s="3">
        <f>1/100*10</f>
        <v>0.1</v>
      </c>
      <c r="H68" s="3">
        <v>0</v>
      </c>
      <c r="I68" s="3">
        <f>6.1/100*10</f>
        <v>0.61</v>
      </c>
      <c r="J68" s="153">
        <f>29/100*10</f>
        <v>2.9</v>
      </c>
      <c r="K68" s="149"/>
      <c r="L68" s="3">
        <f>4/100*10</f>
        <v>0.4</v>
      </c>
      <c r="M68" s="5"/>
    </row>
    <row r="69" spans="1:13" ht="15.75" thickBot="1">
      <c r="A69" s="280" t="s">
        <v>64</v>
      </c>
      <c r="B69" s="281"/>
      <c r="C69" s="282"/>
      <c r="D69" s="15">
        <v>20</v>
      </c>
      <c r="E69" s="15">
        <v>20</v>
      </c>
      <c r="F69" s="3"/>
      <c r="G69" s="3">
        <f>7/100*20</f>
        <v>1.4000000000000001</v>
      </c>
      <c r="H69" s="3">
        <f>1/100*20</f>
        <v>0.2</v>
      </c>
      <c r="I69" s="155">
        <f>74/100*20</f>
        <v>14.8</v>
      </c>
      <c r="J69" s="155">
        <f>330/100*20</f>
        <v>66</v>
      </c>
      <c r="K69" s="156"/>
      <c r="L69" s="3">
        <v>0</v>
      </c>
      <c r="M69" s="5"/>
    </row>
    <row r="70" spans="1:13" ht="15.75" thickBot="1">
      <c r="A70" s="277" t="s">
        <v>50</v>
      </c>
      <c r="B70" s="277"/>
      <c r="C70" s="277"/>
      <c r="D70" s="15">
        <v>10</v>
      </c>
      <c r="E70" s="15">
        <v>10</v>
      </c>
      <c r="F70" s="3"/>
      <c r="G70" s="3">
        <f>12.7/100*10</f>
        <v>1.27</v>
      </c>
      <c r="H70" s="3">
        <f>11.5/100*10</f>
        <v>1.1500000000000001</v>
      </c>
      <c r="I70" s="3">
        <f>0.7/100*10</f>
        <v>6.9999999999999993E-2</v>
      </c>
      <c r="J70" s="153">
        <f>241/100*10</f>
        <v>24.1</v>
      </c>
      <c r="K70" s="149"/>
      <c r="L70" s="3">
        <v>0</v>
      </c>
      <c r="M70" s="5"/>
    </row>
    <row r="71" spans="1:13" ht="15.75" thickBot="1">
      <c r="A71" s="145"/>
      <c r="B71" s="146" t="s">
        <v>67</v>
      </c>
      <c r="C71" s="150"/>
      <c r="D71" s="15">
        <v>10</v>
      </c>
      <c r="E71" s="15">
        <v>10</v>
      </c>
      <c r="F71" s="3"/>
      <c r="G71" s="22">
        <f>21.5/100*10</f>
        <v>2.15</v>
      </c>
      <c r="H71" s="22">
        <f>22.5/100*10</f>
        <v>2.25</v>
      </c>
      <c r="I71" s="22">
        <v>0</v>
      </c>
      <c r="J71" s="155">
        <f>288/100*10</f>
        <v>28.799999999999997</v>
      </c>
      <c r="K71" s="156"/>
      <c r="L71" s="3">
        <v>0</v>
      </c>
      <c r="M71" s="5"/>
    </row>
    <row r="72" spans="1:13" ht="15.75" thickBot="1">
      <c r="A72" s="280" t="s">
        <v>63</v>
      </c>
      <c r="B72" s="281"/>
      <c r="C72" s="282"/>
      <c r="D72" s="15">
        <v>6</v>
      </c>
      <c r="E72" s="15">
        <v>6</v>
      </c>
      <c r="F72" s="73"/>
      <c r="G72" s="3">
        <f>2.6/100*4</f>
        <v>0.10400000000000001</v>
      </c>
      <c r="H72" s="3">
        <f>15/100*4</f>
        <v>0.6</v>
      </c>
      <c r="I72" s="3">
        <f>3.6/100*4</f>
        <v>0.14400000000000002</v>
      </c>
      <c r="J72" s="155">
        <f>160/100*4</f>
        <v>6.4</v>
      </c>
      <c r="K72" s="156"/>
      <c r="L72" s="3">
        <v>0</v>
      </c>
      <c r="M72" s="5"/>
    </row>
  </sheetData>
  <mergeCells count="57">
    <mergeCell ref="A7:C7"/>
    <mergeCell ref="A2:C2"/>
    <mergeCell ref="A3:C3"/>
    <mergeCell ref="A4:C4"/>
    <mergeCell ref="A5:C5"/>
    <mergeCell ref="A6:C6"/>
    <mergeCell ref="A16:C16"/>
    <mergeCell ref="A18:C18"/>
    <mergeCell ref="A19:C19"/>
    <mergeCell ref="A20:C20"/>
    <mergeCell ref="A9:C9"/>
    <mergeCell ref="A10:C10"/>
    <mergeCell ref="A11:C11"/>
    <mergeCell ref="A14:C14"/>
    <mergeCell ref="A15:C15"/>
    <mergeCell ref="A17:E17"/>
    <mergeCell ref="A21:C21"/>
    <mergeCell ref="A23:C23"/>
    <mergeCell ref="A24:C24"/>
    <mergeCell ref="A26:C26"/>
    <mergeCell ref="A27:C27"/>
    <mergeCell ref="A28:C28"/>
    <mergeCell ref="A30:C30"/>
    <mergeCell ref="A31:C31"/>
    <mergeCell ref="A32:C32"/>
    <mergeCell ref="A33:C33"/>
    <mergeCell ref="A37:C37"/>
    <mergeCell ref="A38:C38"/>
    <mergeCell ref="A39:C39"/>
    <mergeCell ref="A34:C34"/>
    <mergeCell ref="A35:C35"/>
    <mergeCell ref="A44:C44"/>
    <mergeCell ref="A46:C46"/>
    <mergeCell ref="A47:C47"/>
    <mergeCell ref="A48:C48"/>
    <mergeCell ref="A40:C40"/>
    <mergeCell ref="A43:C43"/>
    <mergeCell ref="A49:C49"/>
    <mergeCell ref="A50:C50"/>
    <mergeCell ref="A51:C51"/>
    <mergeCell ref="A53:C53"/>
    <mergeCell ref="A54:C54"/>
    <mergeCell ref="A61:C61"/>
    <mergeCell ref="A55:C55"/>
    <mergeCell ref="A56:C56"/>
    <mergeCell ref="A57:C57"/>
    <mergeCell ref="A58:C58"/>
    <mergeCell ref="A59:C59"/>
    <mergeCell ref="A68:C68"/>
    <mergeCell ref="A69:C69"/>
    <mergeCell ref="A70:C70"/>
    <mergeCell ref="A72:C72"/>
    <mergeCell ref="A63:C63"/>
    <mergeCell ref="A64:C64"/>
    <mergeCell ref="A65:C65"/>
    <mergeCell ref="A66:C66"/>
    <mergeCell ref="A67:C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N58"/>
  <sheetViews>
    <sheetView zoomScaleNormal="100" workbookViewId="0">
      <pane ySplit="6" topLeftCell="A7" activePane="bottomLeft" state="frozen"/>
      <selection pane="bottomLeft" activeCell="Q44" sqref="Q44"/>
    </sheetView>
  </sheetViews>
  <sheetFormatPr defaultRowHeight="15"/>
  <cols>
    <col min="1" max="1" width="13.28515625" customWidth="1"/>
    <col min="12" max="12" width="2.140625" customWidth="1"/>
  </cols>
  <sheetData>
    <row r="2" spans="1:14" ht="21">
      <c r="F2" s="50" t="s">
        <v>96</v>
      </c>
    </row>
    <row r="4" spans="1:14" ht="15.75" thickBot="1"/>
    <row r="5" spans="1:14" ht="15.75" customHeight="1" thickBot="1">
      <c r="A5" s="293" t="s">
        <v>8</v>
      </c>
      <c r="B5" s="299" t="s">
        <v>9</v>
      </c>
      <c r="C5" s="300"/>
      <c r="D5" s="300"/>
      <c r="E5" s="303" t="s">
        <v>29</v>
      </c>
      <c r="F5" s="304"/>
      <c r="G5" s="289" t="s">
        <v>10</v>
      </c>
      <c r="H5" s="305" t="s">
        <v>11</v>
      </c>
      <c r="I5" s="305"/>
      <c r="J5" s="305"/>
      <c r="K5" s="289" t="s">
        <v>93</v>
      </c>
      <c r="L5" s="289"/>
      <c r="M5" s="289" t="s">
        <v>16</v>
      </c>
      <c r="N5" s="289" t="s">
        <v>17</v>
      </c>
    </row>
    <row r="6" spans="1:14" ht="15.75" thickBot="1">
      <c r="A6" s="295"/>
      <c r="B6" s="301"/>
      <c r="C6" s="302"/>
      <c r="D6" s="302"/>
      <c r="E6" s="184" t="s">
        <v>30</v>
      </c>
      <c r="F6" s="184" t="s">
        <v>31</v>
      </c>
      <c r="G6" s="290"/>
      <c r="H6" s="185" t="s">
        <v>12</v>
      </c>
      <c r="I6" s="185" t="s">
        <v>13</v>
      </c>
      <c r="J6" s="185" t="s">
        <v>14</v>
      </c>
      <c r="K6" s="290"/>
      <c r="L6" s="290"/>
      <c r="M6" s="290"/>
      <c r="N6" s="290"/>
    </row>
    <row r="7" spans="1:14" ht="15.75" thickBot="1">
      <c r="A7" s="2" t="s">
        <v>1</v>
      </c>
      <c r="B7" s="12"/>
      <c r="C7" s="13"/>
      <c r="D7" s="13"/>
      <c r="E7" s="13"/>
      <c r="F7" s="13"/>
      <c r="G7" s="13"/>
      <c r="H7" s="186">
        <f>H56</f>
        <v>67.22235000000002</v>
      </c>
      <c r="I7" s="186">
        <f>I56</f>
        <v>49.933</v>
      </c>
      <c r="J7" s="186">
        <f>J56</f>
        <v>209.27109999999999</v>
      </c>
      <c r="K7" s="187">
        <f>K56</f>
        <v>1542.0855499999998</v>
      </c>
      <c r="L7" s="188"/>
      <c r="M7" s="186">
        <f>M56</f>
        <v>11.705400000000001</v>
      </c>
      <c r="N7" s="14"/>
    </row>
    <row r="8" spans="1:14" ht="15.75" thickBot="1">
      <c r="A8" s="296" t="s">
        <v>4</v>
      </c>
      <c r="B8" s="278" t="s">
        <v>132</v>
      </c>
      <c r="C8" s="279"/>
      <c r="D8" s="279"/>
      <c r="E8" s="279"/>
      <c r="F8" s="298"/>
      <c r="G8" s="242">
        <v>200</v>
      </c>
      <c r="H8" s="243"/>
      <c r="I8" s="243"/>
      <c r="J8" s="243"/>
      <c r="K8" s="7"/>
      <c r="L8" s="8"/>
      <c r="M8" s="243"/>
      <c r="N8" s="243"/>
    </row>
    <row r="9" spans="1:14" ht="15.75" thickBot="1">
      <c r="A9" s="297"/>
      <c r="B9" s="280" t="s">
        <v>45</v>
      </c>
      <c r="C9" s="281"/>
      <c r="D9" s="281"/>
      <c r="E9" s="243">
        <v>25</v>
      </c>
      <c r="F9" s="243">
        <v>25</v>
      </c>
      <c r="G9" s="243"/>
      <c r="H9" s="243">
        <f>11.5/100*120</f>
        <v>13.8</v>
      </c>
      <c r="I9" s="243">
        <f>1.3/100*25</f>
        <v>0.32500000000000001</v>
      </c>
      <c r="J9" s="243">
        <f>63.1/100*25</f>
        <v>15.775</v>
      </c>
      <c r="K9" s="89">
        <f>353/100*25</f>
        <v>88.25</v>
      </c>
      <c r="L9" s="8"/>
      <c r="M9" s="243">
        <v>0</v>
      </c>
      <c r="N9" s="243"/>
    </row>
    <row r="10" spans="1:14" ht="15.75" thickBot="1">
      <c r="A10" s="297"/>
      <c r="B10" s="280" t="s">
        <v>46</v>
      </c>
      <c r="C10" s="281"/>
      <c r="D10" s="281"/>
      <c r="E10" s="243">
        <v>120</v>
      </c>
      <c r="F10" s="243">
        <v>120</v>
      </c>
      <c r="G10" s="243"/>
      <c r="H10" s="243">
        <f>2.8/100*120</f>
        <v>3.3599999999999994</v>
      </c>
      <c r="I10" s="243">
        <f>2.5/100*120</f>
        <v>3</v>
      </c>
      <c r="J10" s="243">
        <f>4.7/100*120</f>
        <v>5.64</v>
      </c>
      <c r="K10" s="89">
        <f>55/100*120</f>
        <v>66</v>
      </c>
      <c r="L10" s="8"/>
      <c r="M10" s="243">
        <f>1/100*120</f>
        <v>1.2</v>
      </c>
      <c r="N10" s="243"/>
    </row>
    <row r="11" spans="1:14" ht="15.75" thickBot="1">
      <c r="A11" s="297"/>
      <c r="B11" s="280" t="s">
        <v>47</v>
      </c>
      <c r="C11" s="281"/>
      <c r="D11" s="281"/>
      <c r="E11" s="243">
        <v>5</v>
      </c>
      <c r="F11" s="243">
        <v>5</v>
      </c>
      <c r="G11" s="243"/>
      <c r="H11" s="243">
        <v>0</v>
      </c>
      <c r="I11" s="243">
        <v>0</v>
      </c>
      <c r="J11" s="243">
        <f>100/100*5</f>
        <v>5</v>
      </c>
      <c r="K11" s="89">
        <f>400/100*5</f>
        <v>20</v>
      </c>
      <c r="L11" s="8"/>
      <c r="M11" s="243">
        <v>0</v>
      </c>
      <c r="N11" s="243"/>
    </row>
    <row r="12" spans="1:14" ht="15.75" thickBot="1">
      <c r="A12" s="297"/>
      <c r="B12" s="280" t="s">
        <v>48</v>
      </c>
      <c r="C12" s="281"/>
      <c r="D12" s="281"/>
      <c r="E12" s="243">
        <v>5</v>
      </c>
      <c r="F12" s="243">
        <v>5</v>
      </c>
      <c r="G12" s="243"/>
      <c r="H12" s="243">
        <f>0.4/100*5</f>
        <v>0.02</v>
      </c>
      <c r="I12" s="243">
        <f>78.5/100*5</f>
        <v>3.9250000000000003</v>
      </c>
      <c r="J12" s="243">
        <f>0.5/100*5</f>
        <v>2.5000000000000001E-2</v>
      </c>
      <c r="K12" s="218">
        <f>734/100*5</f>
        <v>36.700000000000003</v>
      </c>
      <c r="L12" s="238"/>
      <c r="M12" s="243">
        <f>0.6/100*5</f>
        <v>0.03</v>
      </c>
      <c r="N12" s="243"/>
    </row>
    <row r="13" spans="1:14" ht="15.75" thickBot="1">
      <c r="A13" s="297"/>
      <c r="B13" s="278" t="s">
        <v>25</v>
      </c>
      <c r="C13" s="279"/>
      <c r="D13" s="279"/>
      <c r="E13" s="239"/>
      <c r="F13" s="238"/>
      <c r="G13" s="242">
        <v>180</v>
      </c>
      <c r="H13" s="243"/>
      <c r="I13" s="243"/>
      <c r="J13" s="243"/>
      <c r="K13" s="7"/>
      <c r="L13" s="8"/>
      <c r="M13" s="243"/>
      <c r="N13" s="242">
        <v>393</v>
      </c>
    </row>
    <row r="14" spans="1:14" ht="15.75" thickBot="1">
      <c r="A14" s="297"/>
      <c r="B14" s="280" t="s">
        <v>26</v>
      </c>
      <c r="C14" s="281"/>
      <c r="D14" s="281"/>
      <c r="E14" s="243">
        <v>0.6</v>
      </c>
      <c r="F14" s="243">
        <v>0.6</v>
      </c>
      <c r="G14" s="242"/>
      <c r="H14" s="3">
        <f>20/100*0.6</f>
        <v>0.12</v>
      </c>
      <c r="I14" s="3">
        <v>0</v>
      </c>
      <c r="J14" s="3">
        <f>6.9/100*0.6</f>
        <v>4.1399999999999999E-2</v>
      </c>
      <c r="K14" s="250">
        <f>109/100*0.6</f>
        <v>0.65400000000000003</v>
      </c>
      <c r="L14" s="251"/>
      <c r="M14" s="3">
        <v>0</v>
      </c>
      <c r="N14" s="5"/>
    </row>
    <row r="15" spans="1:14" ht="15.75" thickBot="1">
      <c r="A15" s="297"/>
      <c r="B15" s="280" t="s">
        <v>27</v>
      </c>
      <c r="C15" s="281"/>
      <c r="D15" s="281"/>
      <c r="E15" s="243">
        <v>3</v>
      </c>
      <c r="F15" s="243">
        <v>3</v>
      </c>
      <c r="G15" s="242"/>
      <c r="H15" s="3">
        <f>0.3/100*3</f>
        <v>9.0000000000000011E-3</v>
      </c>
      <c r="I15" s="3">
        <v>0</v>
      </c>
      <c r="J15" s="3">
        <f>4.6/100*3</f>
        <v>0.13800000000000001</v>
      </c>
      <c r="K15" s="244">
        <f>20/100*3</f>
        <v>0.60000000000000009</v>
      </c>
      <c r="L15" s="247"/>
      <c r="M15" s="3">
        <f>20/100*3</f>
        <v>0.60000000000000009</v>
      </c>
      <c r="N15" s="5"/>
    </row>
    <row r="16" spans="1:14" ht="15.75" thickBot="1">
      <c r="A16" s="297"/>
      <c r="B16" s="280" t="s">
        <v>24</v>
      </c>
      <c r="C16" s="281"/>
      <c r="D16" s="281"/>
      <c r="E16" s="243">
        <v>8</v>
      </c>
      <c r="F16" s="243">
        <v>8</v>
      </c>
      <c r="G16" s="242"/>
      <c r="H16" s="3">
        <v>0</v>
      </c>
      <c r="I16" s="3">
        <v>0</v>
      </c>
      <c r="J16" s="3">
        <v>8</v>
      </c>
      <c r="K16" s="250">
        <v>32</v>
      </c>
      <c r="L16" s="236"/>
      <c r="M16" s="3">
        <v>0</v>
      </c>
      <c r="N16" s="5"/>
    </row>
    <row r="17" spans="1:14" ht="15.75" thickBot="1">
      <c r="A17" s="297"/>
      <c r="B17" s="278" t="s">
        <v>207</v>
      </c>
      <c r="C17" s="279"/>
      <c r="D17" s="279"/>
      <c r="E17" s="239"/>
      <c r="F17" s="238"/>
      <c r="G17" s="242">
        <v>30</v>
      </c>
      <c r="H17" s="243">
        <f>7/100*30</f>
        <v>2.1</v>
      </c>
      <c r="I17" s="243">
        <f>1/100*30</f>
        <v>0.3</v>
      </c>
      <c r="J17" s="243">
        <f>47/100*30</f>
        <v>14.1</v>
      </c>
      <c r="K17" s="250">
        <f>230/100*30</f>
        <v>69</v>
      </c>
      <c r="L17" s="236"/>
      <c r="M17" s="243">
        <v>0</v>
      </c>
      <c r="N17" s="68"/>
    </row>
    <row r="18" spans="1:14" ht="15.75" thickBot="1">
      <c r="A18" s="306"/>
      <c r="B18" s="278" t="s">
        <v>23</v>
      </c>
      <c r="C18" s="279"/>
      <c r="D18" s="279"/>
      <c r="E18" s="198"/>
      <c r="F18" s="199"/>
      <c r="G18" s="70">
        <v>5</v>
      </c>
      <c r="H18" s="4">
        <f>0.4/100*5</f>
        <v>0.02</v>
      </c>
      <c r="I18" s="4">
        <f>78.5/100*5</f>
        <v>3.9250000000000003</v>
      </c>
      <c r="J18" s="4">
        <f>0.5/100*5</f>
        <v>2.5000000000000001E-2</v>
      </c>
      <c r="K18" s="250">
        <f>734/100*5</f>
        <v>36.700000000000003</v>
      </c>
      <c r="L18" s="251"/>
      <c r="M18" s="4">
        <f>0.6/100*5</f>
        <v>0.03</v>
      </c>
      <c r="N18" s="5"/>
    </row>
    <row r="19" spans="1:14" ht="15.75" thickBot="1">
      <c r="A19" s="309" t="s">
        <v>5</v>
      </c>
      <c r="B19" s="278" t="s">
        <v>137</v>
      </c>
      <c r="C19" s="279"/>
      <c r="D19" s="279"/>
      <c r="E19" s="279"/>
      <c r="F19" s="298"/>
      <c r="G19" s="137">
        <v>250</v>
      </c>
      <c r="H19" s="3"/>
      <c r="I19" s="3"/>
      <c r="J19" s="3"/>
      <c r="K19" s="287"/>
      <c r="L19" s="288"/>
      <c r="M19" s="3"/>
      <c r="N19" s="5"/>
    </row>
    <row r="20" spans="1:14" ht="15.75" thickBot="1">
      <c r="A20" s="310"/>
      <c r="B20" s="280" t="s">
        <v>134</v>
      </c>
      <c r="C20" s="281"/>
      <c r="D20" s="282"/>
      <c r="E20" s="243">
        <v>20</v>
      </c>
      <c r="F20" s="243">
        <v>20</v>
      </c>
      <c r="G20" s="142"/>
      <c r="H20" s="4">
        <f>18.2/100*F20</f>
        <v>3.6399999999999997</v>
      </c>
      <c r="I20" s="4">
        <f>18.4/100*F20</f>
        <v>3.6799999999999997</v>
      </c>
      <c r="J20" s="4">
        <f>0.7/100*F20</f>
        <v>0.13999999999999999</v>
      </c>
      <c r="K20" s="250">
        <f>241/100*F20</f>
        <v>48.2</v>
      </c>
      <c r="L20" s="236"/>
      <c r="M20" s="4">
        <v>0</v>
      </c>
      <c r="N20" s="5"/>
    </row>
    <row r="21" spans="1:14" ht="15.75" thickBot="1">
      <c r="A21" s="310"/>
      <c r="B21" s="280" t="s">
        <v>33</v>
      </c>
      <c r="C21" s="281"/>
      <c r="D21" s="282"/>
      <c r="E21" s="243">
        <v>100</v>
      </c>
      <c r="F21" s="243">
        <v>87.5</v>
      </c>
      <c r="G21" s="142"/>
      <c r="H21" s="4">
        <f>1.2/100*87.5</f>
        <v>1.05</v>
      </c>
      <c r="I21" s="4">
        <v>0</v>
      </c>
      <c r="J21" s="4">
        <f>14/100*87.5</f>
        <v>12.250000000000002</v>
      </c>
      <c r="K21" s="244">
        <f>62/100*87.5</f>
        <v>54.25</v>
      </c>
      <c r="L21" s="247"/>
      <c r="M21" s="4">
        <f>7.5/100*87.5</f>
        <v>6.5625</v>
      </c>
      <c r="N21" s="5"/>
    </row>
    <row r="22" spans="1:14" ht="15.75" thickBot="1">
      <c r="A22" s="310"/>
      <c r="B22" s="280" t="s">
        <v>34</v>
      </c>
      <c r="C22" s="281"/>
      <c r="D22" s="282"/>
      <c r="E22" s="243">
        <v>7</v>
      </c>
      <c r="F22" s="243">
        <v>5</v>
      </c>
      <c r="G22" s="142"/>
      <c r="H22" s="4">
        <f>0.2/100*5</f>
        <v>0.01</v>
      </c>
      <c r="I22" s="4">
        <v>0</v>
      </c>
      <c r="J22" s="4">
        <f>10/100*5</f>
        <v>0.5</v>
      </c>
      <c r="K22" s="244">
        <f>42/100*5</f>
        <v>2.1</v>
      </c>
      <c r="L22" s="247"/>
      <c r="M22" s="4">
        <f>8.5/100*5</f>
        <v>0.42500000000000004</v>
      </c>
      <c r="N22" s="5"/>
    </row>
    <row r="23" spans="1:14" ht="15.75" thickBot="1">
      <c r="A23" s="310"/>
      <c r="B23" s="277" t="s">
        <v>35</v>
      </c>
      <c r="C23" s="277"/>
      <c r="D23" s="277"/>
      <c r="E23" s="243">
        <v>7</v>
      </c>
      <c r="F23" s="243">
        <v>5</v>
      </c>
      <c r="G23" s="142"/>
      <c r="H23" s="4">
        <f>1/100*5</f>
        <v>0.05</v>
      </c>
      <c r="I23" s="4">
        <v>0</v>
      </c>
      <c r="J23" s="4">
        <f>6.1/100*5</f>
        <v>0.30499999999999999</v>
      </c>
      <c r="K23" s="244">
        <f>29/100*5</f>
        <v>1.45</v>
      </c>
      <c r="L23" s="247"/>
      <c r="M23" s="4">
        <f>4/100*5</f>
        <v>0.2</v>
      </c>
      <c r="N23" s="5"/>
    </row>
    <row r="24" spans="1:14" ht="15.75" thickBot="1">
      <c r="A24" s="310"/>
      <c r="B24" s="280" t="s">
        <v>23</v>
      </c>
      <c r="C24" s="281"/>
      <c r="D24" s="281"/>
      <c r="E24" s="243">
        <v>2</v>
      </c>
      <c r="F24" s="243">
        <v>2</v>
      </c>
      <c r="G24" s="142"/>
      <c r="H24" s="4">
        <f>0.4/100*2</f>
        <v>8.0000000000000002E-3</v>
      </c>
      <c r="I24" s="4">
        <f>78.5/100*2</f>
        <v>1.57</v>
      </c>
      <c r="J24" s="4">
        <f>0.5/100*2</f>
        <v>0.01</v>
      </c>
      <c r="K24" s="244">
        <f>734/100*2</f>
        <v>14.68</v>
      </c>
      <c r="L24" s="247"/>
      <c r="M24" s="4">
        <f>0.6/100*2</f>
        <v>1.2E-2</v>
      </c>
      <c r="N24" s="5"/>
    </row>
    <row r="25" spans="1:14" ht="15.75" thickBot="1">
      <c r="A25" s="310"/>
      <c r="B25" s="277" t="s">
        <v>36</v>
      </c>
      <c r="C25" s="277"/>
      <c r="D25" s="277"/>
      <c r="E25" s="243">
        <v>2</v>
      </c>
      <c r="F25" s="243">
        <v>2</v>
      </c>
      <c r="G25" s="142"/>
      <c r="H25" s="4">
        <v>0</v>
      </c>
      <c r="I25" s="4">
        <f>99.9/100*2</f>
        <v>1.9980000000000002</v>
      </c>
      <c r="J25" s="4">
        <v>0</v>
      </c>
      <c r="K25" s="244">
        <f>900/100*2</f>
        <v>18</v>
      </c>
      <c r="L25" s="247"/>
      <c r="M25" s="4">
        <v>0</v>
      </c>
      <c r="N25" s="5"/>
    </row>
    <row r="26" spans="1:14" ht="15.75" thickBot="1">
      <c r="A26" s="310"/>
      <c r="B26" s="277" t="s">
        <v>37</v>
      </c>
      <c r="C26" s="277"/>
      <c r="D26" s="277"/>
      <c r="E26" s="243">
        <v>4</v>
      </c>
      <c r="F26" s="243">
        <v>4</v>
      </c>
      <c r="G26" s="142"/>
      <c r="H26" s="4">
        <f>2.6/100*F26</f>
        <v>0.10400000000000001</v>
      </c>
      <c r="I26" s="4">
        <f>15/100*F26</f>
        <v>0.6</v>
      </c>
      <c r="J26" s="4">
        <f>3.6/100*F26</f>
        <v>0.14400000000000002</v>
      </c>
      <c r="K26" s="250">
        <f>160/100*F26</f>
        <v>6.4</v>
      </c>
      <c r="L26" s="236"/>
      <c r="M26" s="4">
        <v>0</v>
      </c>
      <c r="N26" s="5"/>
    </row>
    <row r="27" spans="1:14" ht="15.75" thickBot="1">
      <c r="A27" s="310"/>
      <c r="B27" s="277" t="s">
        <v>135</v>
      </c>
      <c r="C27" s="277"/>
      <c r="D27" s="277"/>
      <c r="E27" s="243">
        <v>10</v>
      </c>
      <c r="F27" s="243">
        <v>10</v>
      </c>
      <c r="G27" s="142"/>
      <c r="H27" s="4">
        <f>10/100*F27</f>
        <v>1</v>
      </c>
      <c r="I27" s="4">
        <f>1/100*F27</f>
        <v>0.1</v>
      </c>
      <c r="J27" s="4">
        <f>71/100*F27</f>
        <v>7.1</v>
      </c>
      <c r="K27" s="250">
        <f>340/100*F27</f>
        <v>34</v>
      </c>
      <c r="L27" s="236"/>
      <c r="M27" s="4">
        <v>0</v>
      </c>
      <c r="N27" s="5"/>
    </row>
    <row r="28" spans="1:14" ht="15.75" thickBot="1">
      <c r="A28" s="310"/>
      <c r="B28" s="278" t="s">
        <v>138</v>
      </c>
      <c r="C28" s="279"/>
      <c r="D28" s="279"/>
      <c r="E28" s="239"/>
      <c r="F28" s="238"/>
      <c r="G28" s="66">
        <v>200</v>
      </c>
      <c r="H28" s="4"/>
      <c r="I28" s="4"/>
      <c r="J28" s="4"/>
      <c r="K28" s="246"/>
      <c r="L28" s="247"/>
      <c r="M28" s="4"/>
      <c r="N28" s="68"/>
    </row>
    <row r="29" spans="1:14" ht="15.75" thickBot="1">
      <c r="A29" s="310"/>
      <c r="B29" s="280" t="s">
        <v>69</v>
      </c>
      <c r="C29" s="283"/>
      <c r="D29" s="284"/>
      <c r="E29" s="243">
        <v>60</v>
      </c>
      <c r="F29" s="243">
        <v>60</v>
      </c>
      <c r="G29" s="4"/>
      <c r="H29" s="4">
        <f>18.9/100*60</f>
        <v>11.339999999999998</v>
      </c>
      <c r="I29" s="4">
        <f>12.4/100*60</f>
        <v>7.4399999999999995</v>
      </c>
      <c r="J29" s="4">
        <v>0</v>
      </c>
      <c r="K29" s="250">
        <f>187/100*60</f>
        <v>112.2</v>
      </c>
      <c r="L29" s="236"/>
      <c r="M29" s="4">
        <v>0</v>
      </c>
      <c r="N29" s="68"/>
    </row>
    <row r="30" spans="1:14" ht="15.75" thickBot="1">
      <c r="A30" s="310"/>
      <c r="B30" s="280" t="s">
        <v>64</v>
      </c>
      <c r="C30" s="281"/>
      <c r="D30" s="281"/>
      <c r="E30" s="243">
        <v>52</v>
      </c>
      <c r="F30" s="243">
        <v>52</v>
      </c>
      <c r="G30" s="68"/>
      <c r="H30" s="4">
        <f>7/100*52</f>
        <v>3.6400000000000006</v>
      </c>
      <c r="I30" s="4">
        <f>1/100*52</f>
        <v>0.52</v>
      </c>
      <c r="J30" s="235">
        <f>74/100*52</f>
        <v>38.479999999999997</v>
      </c>
      <c r="K30" s="250">
        <f>330/100*52</f>
        <v>171.6</v>
      </c>
      <c r="L30" s="236"/>
      <c r="M30" s="4">
        <v>0</v>
      </c>
      <c r="N30" s="68"/>
    </row>
    <row r="31" spans="1:14" ht="15.75" thickBot="1">
      <c r="A31" s="310"/>
      <c r="B31" s="280" t="s">
        <v>55</v>
      </c>
      <c r="C31" s="283"/>
      <c r="D31" s="284"/>
      <c r="E31" s="243">
        <v>16</v>
      </c>
      <c r="F31" s="243">
        <v>10</v>
      </c>
      <c r="G31" s="68"/>
      <c r="H31" s="4">
        <f>1/100*10</f>
        <v>0.1</v>
      </c>
      <c r="I31" s="4">
        <v>0</v>
      </c>
      <c r="J31" s="4">
        <f>6.1/100*10</f>
        <v>0.61</v>
      </c>
      <c r="K31" s="244">
        <f>29/100*10</f>
        <v>2.9</v>
      </c>
      <c r="L31" s="247"/>
      <c r="M31" s="4">
        <f>4/100*10</f>
        <v>0.4</v>
      </c>
      <c r="N31" s="68"/>
    </row>
    <row r="32" spans="1:14" ht="15.75" thickBot="1">
      <c r="A32" s="310"/>
      <c r="B32" s="277" t="s">
        <v>54</v>
      </c>
      <c r="C32" s="277"/>
      <c r="D32" s="277"/>
      <c r="E32" s="243">
        <v>12</v>
      </c>
      <c r="F32" s="243">
        <v>10</v>
      </c>
      <c r="G32" s="4"/>
      <c r="H32" s="4">
        <f>0.2/100*10</f>
        <v>0.02</v>
      </c>
      <c r="I32" s="4">
        <v>0</v>
      </c>
      <c r="J32" s="4">
        <f>10/100*10</f>
        <v>1</v>
      </c>
      <c r="K32" s="244">
        <f>42/100*10</f>
        <v>4.2</v>
      </c>
      <c r="L32" s="247"/>
      <c r="M32" s="4">
        <f>8.5/100*10</f>
        <v>0.85000000000000009</v>
      </c>
      <c r="N32" s="68"/>
    </row>
    <row r="33" spans="1:14" ht="15.75" thickBot="1">
      <c r="A33" s="310"/>
      <c r="B33" s="252"/>
      <c r="C33" s="239" t="s">
        <v>48</v>
      </c>
      <c r="D33" s="241"/>
      <c r="E33" s="243">
        <v>3</v>
      </c>
      <c r="F33" s="243">
        <v>3</v>
      </c>
      <c r="G33" s="68"/>
      <c r="H33" s="4">
        <f>0.4/100*3</f>
        <v>1.2E-2</v>
      </c>
      <c r="I33" s="4">
        <f>78.5/100*3</f>
        <v>2.355</v>
      </c>
      <c r="J33" s="4">
        <f>0.5/100*3</f>
        <v>1.4999999999999999E-2</v>
      </c>
      <c r="K33" s="250">
        <f>734/100*3</f>
        <v>22.02</v>
      </c>
      <c r="L33" s="251"/>
      <c r="M33" s="4">
        <v>0</v>
      </c>
      <c r="N33" s="68"/>
    </row>
    <row r="34" spans="1:14" ht="15.75" thickBot="1">
      <c r="A34" s="52"/>
      <c r="B34" s="277" t="s">
        <v>60</v>
      </c>
      <c r="C34" s="277"/>
      <c r="D34" s="277"/>
      <c r="E34" s="243">
        <v>3</v>
      </c>
      <c r="F34" s="243">
        <v>3</v>
      </c>
      <c r="G34" s="4"/>
      <c r="H34" s="243">
        <v>0</v>
      </c>
      <c r="I34" s="243">
        <f>99.9/100*3</f>
        <v>2.9970000000000003</v>
      </c>
      <c r="J34" s="243">
        <v>0</v>
      </c>
      <c r="K34" s="250">
        <f>900/100*3</f>
        <v>27</v>
      </c>
      <c r="L34" s="251"/>
      <c r="M34" s="243">
        <v>0</v>
      </c>
      <c r="N34" s="68"/>
    </row>
    <row r="35" spans="1:14" ht="15.75" thickBot="1">
      <c r="A35" s="52"/>
      <c r="B35" s="278" t="s">
        <v>40</v>
      </c>
      <c r="C35" s="279"/>
      <c r="D35" s="279"/>
      <c r="E35" s="146"/>
      <c r="F35" s="150"/>
      <c r="G35" s="66">
        <v>180</v>
      </c>
      <c r="H35" s="4"/>
      <c r="I35" s="4"/>
      <c r="J35" s="4"/>
      <c r="K35" s="82"/>
      <c r="L35" s="83"/>
      <c r="M35" s="4"/>
      <c r="N35" s="68"/>
    </row>
    <row r="36" spans="1:14" ht="15.75" thickBot="1">
      <c r="A36" s="52"/>
      <c r="B36" s="277" t="s">
        <v>41</v>
      </c>
      <c r="C36" s="277"/>
      <c r="D36" s="277"/>
      <c r="E36" s="78">
        <v>11</v>
      </c>
      <c r="F36" s="78">
        <v>16.5</v>
      </c>
      <c r="G36" s="4"/>
      <c r="H36" s="4">
        <f>0.63/100*14.5</f>
        <v>9.1350000000000001E-2</v>
      </c>
      <c r="I36" s="4">
        <v>0</v>
      </c>
      <c r="J36" s="4">
        <f>10.06/100*16.5</f>
        <v>1.6599000000000002</v>
      </c>
      <c r="K36" s="80">
        <f>40.87/100*16.5</f>
        <v>6.743549999999999</v>
      </c>
      <c r="L36" s="81"/>
      <c r="M36" s="4">
        <f>0.46/100*16.5</f>
        <v>7.5899999999999995E-2</v>
      </c>
      <c r="N36" s="68"/>
    </row>
    <row r="37" spans="1:14" ht="15.75" thickBot="1">
      <c r="A37" s="52"/>
      <c r="B37" s="280" t="s">
        <v>24</v>
      </c>
      <c r="C37" s="281"/>
      <c r="D37" s="281"/>
      <c r="E37" s="78">
        <v>10</v>
      </c>
      <c r="F37" s="78">
        <v>10</v>
      </c>
      <c r="G37" s="68"/>
      <c r="H37" s="4">
        <v>0</v>
      </c>
      <c r="I37" s="4">
        <v>0</v>
      </c>
      <c r="J37" s="4">
        <f>100/100*10</f>
        <v>10</v>
      </c>
      <c r="K37" s="80">
        <f>400/100*10</f>
        <v>40</v>
      </c>
      <c r="L37" s="81"/>
      <c r="M37" s="4">
        <v>0</v>
      </c>
      <c r="N37" s="68"/>
    </row>
    <row r="38" spans="1:14" ht="15.75" thickBot="1">
      <c r="A38" s="52"/>
      <c r="B38" s="278" t="s">
        <v>215</v>
      </c>
      <c r="C38" s="279"/>
      <c r="D38" s="279"/>
      <c r="E38" s="146"/>
      <c r="F38" s="150"/>
      <c r="G38" s="66">
        <v>50</v>
      </c>
      <c r="H38" s="4">
        <f>7/100*50</f>
        <v>3.5000000000000004</v>
      </c>
      <c r="I38" s="4">
        <f>1/100*50</f>
        <v>0.5</v>
      </c>
      <c r="J38" s="4">
        <f>47/100*50</f>
        <v>23.5</v>
      </c>
      <c r="K38" s="80">
        <f>230/100*50</f>
        <v>114.99999999999999</v>
      </c>
      <c r="L38" s="81"/>
      <c r="M38" s="4">
        <v>0</v>
      </c>
      <c r="N38" s="5"/>
    </row>
    <row r="39" spans="1:14" ht="15.75" thickBot="1">
      <c r="A39" s="296" t="s">
        <v>6</v>
      </c>
      <c r="B39" s="12" t="s">
        <v>139</v>
      </c>
      <c r="C39" s="13"/>
      <c r="D39" s="13"/>
      <c r="E39" s="220"/>
      <c r="F39" s="21"/>
      <c r="G39" s="66">
        <v>20</v>
      </c>
      <c r="H39" s="4">
        <f>8.5/100*G39</f>
        <v>1.7000000000000002</v>
      </c>
      <c r="I39" s="4">
        <f>3.5/100*G39</f>
        <v>0.70000000000000007</v>
      </c>
      <c r="J39" s="4">
        <f>69/100*G39</f>
        <v>13.799999999999999</v>
      </c>
      <c r="K39" s="250">
        <f>340/100*G39</f>
        <v>68</v>
      </c>
      <c r="L39" s="251"/>
      <c r="M39" s="4">
        <v>0</v>
      </c>
      <c r="N39" s="68"/>
    </row>
    <row r="40" spans="1:14" ht="15.75" thickBot="1">
      <c r="A40" s="297"/>
      <c r="B40" s="12" t="s">
        <v>124</v>
      </c>
      <c r="C40" s="13"/>
      <c r="D40" s="13"/>
      <c r="E40" s="146"/>
      <c r="F40" s="150"/>
      <c r="G40" s="66">
        <v>180</v>
      </c>
      <c r="H40" s="4"/>
      <c r="I40" s="4"/>
      <c r="J40" s="4"/>
      <c r="K40" s="82"/>
      <c r="L40" s="83"/>
      <c r="M40" s="4"/>
      <c r="N40" s="68"/>
    </row>
    <row r="41" spans="1:14" ht="15.75" thickBot="1">
      <c r="A41" s="297"/>
      <c r="B41" s="277" t="s">
        <v>210</v>
      </c>
      <c r="C41" s="277"/>
      <c r="D41" s="277"/>
      <c r="E41" s="78">
        <v>0.6</v>
      </c>
      <c r="F41" s="78">
        <v>0.6</v>
      </c>
      <c r="G41" s="78"/>
      <c r="H41" s="4">
        <f>20/100*0.6</f>
        <v>0.12</v>
      </c>
      <c r="I41" s="4">
        <v>0</v>
      </c>
      <c r="J41" s="4">
        <f>6.9/100*0.6</f>
        <v>4.1399999999999999E-2</v>
      </c>
      <c r="K41" s="80">
        <f>109/100*0.6</f>
        <v>0.65400000000000003</v>
      </c>
      <c r="L41" s="18"/>
      <c r="M41" s="4">
        <f>10/100*0.6</f>
        <v>0.06</v>
      </c>
      <c r="N41" s="78"/>
    </row>
    <row r="42" spans="1:14" ht="15.75" thickBot="1">
      <c r="A42" s="6"/>
      <c r="B42" s="12"/>
      <c r="C42" s="154" t="s">
        <v>22</v>
      </c>
      <c r="D42" s="13"/>
      <c r="E42" s="78">
        <v>50</v>
      </c>
      <c r="F42" s="78">
        <v>50</v>
      </c>
      <c r="G42" s="68"/>
      <c r="H42" s="4">
        <f>2.8/100*50</f>
        <v>1.4</v>
      </c>
      <c r="I42" s="4">
        <f>2.5/100*50</f>
        <v>1.25</v>
      </c>
      <c r="J42" s="4">
        <f>4.7/100*50</f>
        <v>2.35</v>
      </c>
      <c r="K42" s="82">
        <f>55/100*50</f>
        <v>27.500000000000004</v>
      </c>
      <c r="L42" s="83"/>
      <c r="M42" s="4">
        <f>1/100*50</f>
        <v>0.5</v>
      </c>
      <c r="N42" s="68"/>
    </row>
    <row r="43" spans="1:14" ht="15.75" thickBot="1">
      <c r="A43" s="293" t="s">
        <v>7</v>
      </c>
      <c r="B43" s="278" t="s">
        <v>140</v>
      </c>
      <c r="C43" s="279"/>
      <c r="D43" s="279"/>
      <c r="E43" s="77"/>
      <c r="F43" s="79"/>
      <c r="G43" s="73">
        <v>150</v>
      </c>
      <c r="H43" s="4"/>
      <c r="I43" s="4"/>
      <c r="J43" s="4"/>
      <c r="K43" s="285"/>
      <c r="L43" s="286"/>
      <c r="M43" s="4"/>
      <c r="N43" s="68"/>
    </row>
    <row r="44" spans="1:14" ht="15.75" thickBot="1">
      <c r="A44" s="294"/>
      <c r="B44" s="277" t="s">
        <v>216</v>
      </c>
      <c r="C44" s="277"/>
      <c r="D44" s="277"/>
      <c r="E44" s="78">
        <v>100</v>
      </c>
      <c r="F44" s="78">
        <v>100</v>
      </c>
      <c r="G44" s="4"/>
      <c r="H44" s="4">
        <f>16/100*F44</f>
        <v>16</v>
      </c>
      <c r="I44" s="4">
        <f>9/100*F44</f>
        <v>9</v>
      </c>
      <c r="J44" s="4">
        <f>3/100*F44</f>
        <v>3</v>
      </c>
      <c r="K44" s="80">
        <f>157/100*F44</f>
        <v>157</v>
      </c>
      <c r="L44" s="81"/>
      <c r="M44" s="80">
        <f>0.5/100*100</f>
        <v>0.5</v>
      </c>
      <c r="N44" s="68"/>
    </row>
    <row r="45" spans="1:14" ht="15.75" thickBot="1">
      <c r="A45" s="294"/>
      <c r="B45" s="280" t="s">
        <v>23</v>
      </c>
      <c r="C45" s="281"/>
      <c r="D45" s="281"/>
      <c r="E45" s="78">
        <v>3</v>
      </c>
      <c r="F45" s="78">
        <v>3</v>
      </c>
      <c r="G45" s="4"/>
      <c r="H45" s="4">
        <f>0.4/100*F45</f>
        <v>1.2E-2</v>
      </c>
      <c r="I45" s="4">
        <f>78.5/100*3</f>
        <v>2.355</v>
      </c>
      <c r="J45" s="4">
        <f>0.5/100*3</f>
        <v>1.4999999999999999E-2</v>
      </c>
      <c r="K45" s="17">
        <f>734/100*3</f>
        <v>22.02</v>
      </c>
      <c r="L45" s="18"/>
      <c r="M45" s="4">
        <v>0</v>
      </c>
      <c r="N45" s="68"/>
    </row>
    <row r="46" spans="1:14" ht="15.75" thickBot="1">
      <c r="A46" s="294"/>
      <c r="B46" s="277" t="s">
        <v>36</v>
      </c>
      <c r="C46" s="277"/>
      <c r="D46" s="277"/>
      <c r="E46" s="78">
        <v>2</v>
      </c>
      <c r="F46" s="78">
        <v>2</v>
      </c>
      <c r="G46" s="4"/>
      <c r="H46" s="4">
        <v>0</v>
      </c>
      <c r="I46" s="4">
        <f>99.9/100*2</f>
        <v>1.9980000000000002</v>
      </c>
      <c r="J46" s="4">
        <v>0</v>
      </c>
      <c r="K46" s="82">
        <f>900/100*2</f>
        <v>18</v>
      </c>
      <c r="L46" s="83"/>
      <c r="M46" s="4">
        <v>0</v>
      </c>
      <c r="N46" s="5"/>
    </row>
    <row r="47" spans="1:14" ht="15.75" thickBot="1">
      <c r="A47" s="294"/>
      <c r="B47" s="277" t="s">
        <v>198</v>
      </c>
      <c r="C47" s="277"/>
      <c r="D47" s="277"/>
      <c r="E47" s="78">
        <v>5</v>
      </c>
      <c r="F47" s="78">
        <v>5</v>
      </c>
      <c r="G47" s="4"/>
      <c r="H47" s="4">
        <f>12.7/100*5</f>
        <v>0.63500000000000001</v>
      </c>
      <c r="I47" s="4">
        <f>11.5/100*5</f>
        <v>0.57500000000000007</v>
      </c>
      <c r="J47" s="4">
        <f>0.7/100*5</f>
        <v>3.4999999999999996E-2</v>
      </c>
      <c r="K47" s="82">
        <f>241/100*5</f>
        <v>12.05</v>
      </c>
      <c r="L47" s="83"/>
      <c r="M47" s="4">
        <v>0</v>
      </c>
      <c r="N47" s="68"/>
    </row>
    <row r="48" spans="1:14" ht="15.75" thickBot="1">
      <c r="A48" s="294"/>
      <c r="B48" s="280" t="s">
        <v>24</v>
      </c>
      <c r="C48" s="283"/>
      <c r="D48" s="284"/>
      <c r="E48" s="78">
        <v>10</v>
      </c>
      <c r="F48" s="78">
        <v>10</v>
      </c>
      <c r="G48" s="4"/>
      <c r="H48" s="4">
        <v>0</v>
      </c>
      <c r="I48" s="4">
        <v>0</v>
      </c>
      <c r="J48" s="4">
        <f>100/100*10</f>
        <v>10</v>
      </c>
      <c r="K48" s="80">
        <f>400/100*10</f>
        <v>40</v>
      </c>
      <c r="L48" s="81"/>
      <c r="M48" s="4">
        <v>0</v>
      </c>
      <c r="N48" s="68"/>
    </row>
    <row r="49" spans="1:14" ht="15.75" thickBot="1">
      <c r="A49" s="294"/>
      <c r="B49" s="12"/>
      <c r="C49" s="154" t="s">
        <v>22</v>
      </c>
      <c r="D49" s="13"/>
      <c r="E49" s="78">
        <v>20</v>
      </c>
      <c r="F49" s="78">
        <v>20</v>
      </c>
      <c r="G49" s="68"/>
      <c r="H49" s="4">
        <f>2.8/100*F49</f>
        <v>0.55999999999999994</v>
      </c>
      <c r="I49" s="4">
        <f>2.5/100*F49</f>
        <v>0.5</v>
      </c>
      <c r="J49" s="4">
        <f>4.7/100*F49</f>
        <v>0.94</v>
      </c>
      <c r="K49" s="82">
        <f>55/100*F49</f>
        <v>11</v>
      </c>
      <c r="L49" s="83"/>
      <c r="M49" s="4">
        <f>1/100*F49</f>
        <v>0.2</v>
      </c>
      <c r="N49" s="68"/>
    </row>
    <row r="50" spans="1:14" ht="15.75" thickBot="1">
      <c r="A50" s="294"/>
      <c r="B50" s="280" t="s">
        <v>133</v>
      </c>
      <c r="C50" s="283"/>
      <c r="D50" s="284"/>
      <c r="E50" s="78">
        <v>15</v>
      </c>
      <c r="F50" s="78">
        <v>15</v>
      </c>
      <c r="G50" s="78"/>
      <c r="H50" s="4">
        <f>0.3/100*15</f>
        <v>4.4999999999999998E-2</v>
      </c>
      <c r="I50" s="4">
        <v>0</v>
      </c>
      <c r="J50" s="4">
        <f>60.2/100*15</f>
        <v>9.0299999999999994</v>
      </c>
      <c r="K50" s="82">
        <f>248/100*15</f>
        <v>37.200000000000003</v>
      </c>
      <c r="L50" s="83"/>
      <c r="M50" s="4">
        <v>0</v>
      </c>
      <c r="N50" s="5"/>
    </row>
    <row r="51" spans="1:14" ht="15.75" thickBot="1">
      <c r="A51" s="294"/>
      <c r="B51" s="280" t="s">
        <v>21</v>
      </c>
      <c r="C51" s="281"/>
      <c r="D51" s="281"/>
      <c r="E51" s="78">
        <v>12</v>
      </c>
      <c r="F51" s="78">
        <v>12</v>
      </c>
      <c r="G51" s="78"/>
      <c r="H51" s="78">
        <f>10.3/100*F51</f>
        <v>1.2360000000000002</v>
      </c>
      <c r="I51" s="78">
        <f>1/100*F51</f>
        <v>0.12</v>
      </c>
      <c r="J51" s="78">
        <f>68/100*F51</f>
        <v>8.16</v>
      </c>
      <c r="K51" s="7">
        <f>328/100*F51</f>
        <v>39.36</v>
      </c>
      <c r="L51" s="8"/>
      <c r="M51" s="78">
        <v>0</v>
      </c>
      <c r="N51" s="78"/>
    </row>
    <row r="52" spans="1:14" ht="15.75" thickBot="1">
      <c r="A52" s="294"/>
      <c r="B52" s="278" t="s">
        <v>207</v>
      </c>
      <c r="C52" s="279"/>
      <c r="D52" s="279"/>
      <c r="E52" s="146"/>
      <c r="F52" s="150"/>
      <c r="G52" s="65">
        <v>20</v>
      </c>
      <c r="H52" s="78">
        <f>7/100*20</f>
        <v>1.4000000000000001</v>
      </c>
      <c r="I52" s="78">
        <f>1/100*20</f>
        <v>0.2</v>
      </c>
      <c r="J52" s="78">
        <f>47/100*20</f>
        <v>9.3999999999999986</v>
      </c>
      <c r="K52" s="80">
        <f>230/100*20</f>
        <v>46</v>
      </c>
      <c r="L52" s="81"/>
      <c r="M52" s="78">
        <v>0</v>
      </c>
      <c r="N52" s="5"/>
    </row>
    <row r="53" spans="1:14" ht="15.75" thickBot="1">
      <c r="A53" s="294"/>
      <c r="B53" s="278" t="s">
        <v>149</v>
      </c>
      <c r="C53" s="279"/>
      <c r="D53" s="298"/>
      <c r="E53" s="78"/>
      <c r="F53" s="78"/>
      <c r="G53" s="65">
        <v>180</v>
      </c>
      <c r="H53" s="78"/>
      <c r="I53" s="78"/>
      <c r="J53" s="78"/>
      <c r="K53" s="80"/>
      <c r="L53" s="81"/>
      <c r="M53" s="78"/>
      <c r="N53" s="5"/>
    </row>
    <row r="54" spans="1:14" ht="15.75" thickBot="1">
      <c r="A54" s="294"/>
      <c r="B54" s="277" t="s">
        <v>210</v>
      </c>
      <c r="C54" s="277"/>
      <c r="D54" s="277"/>
      <c r="E54" s="78">
        <v>0.6</v>
      </c>
      <c r="F54" s="78">
        <v>0.6</v>
      </c>
      <c r="G54" s="78"/>
      <c r="H54" s="4">
        <f>20/100*0.6</f>
        <v>0.12</v>
      </c>
      <c r="I54" s="4">
        <v>0</v>
      </c>
      <c r="J54" s="4">
        <f>6.9/100*0.6</f>
        <v>4.1399999999999999E-2</v>
      </c>
      <c r="K54" s="80">
        <f>109/100*0.6</f>
        <v>0.65400000000000003</v>
      </c>
      <c r="L54" s="18"/>
      <c r="M54" s="4">
        <f>10/100*0.6</f>
        <v>0.06</v>
      </c>
      <c r="N54" s="78"/>
    </row>
    <row r="55" spans="1:14" ht="15.75" thickBot="1">
      <c r="A55" s="294"/>
      <c r="B55" s="277" t="s">
        <v>24</v>
      </c>
      <c r="C55" s="277"/>
      <c r="D55" s="277"/>
      <c r="E55" s="78">
        <v>8</v>
      </c>
      <c r="F55" s="78">
        <v>8</v>
      </c>
      <c r="G55" s="78"/>
      <c r="H55" s="4">
        <v>0</v>
      </c>
      <c r="I55" s="4">
        <v>0</v>
      </c>
      <c r="J55" s="4">
        <f>100/100*8</f>
        <v>8</v>
      </c>
      <c r="K55" s="287">
        <f>400/100*8</f>
        <v>32</v>
      </c>
      <c r="L55" s="288"/>
      <c r="M55" s="4">
        <v>0</v>
      </c>
      <c r="N55" s="28"/>
    </row>
    <row r="56" spans="1:14" ht="15.75" hidden="1" thickBot="1">
      <c r="A56" s="295"/>
      <c r="B56" s="277"/>
      <c r="C56" s="277"/>
      <c r="D56" s="277"/>
      <c r="E56" s="15"/>
      <c r="F56" s="15"/>
      <c r="G56" s="28"/>
      <c r="H56" s="4">
        <f>SUM(H9:H55)</f>
        <v>67.22235000000002</v>
      </c>
      <c r="I56" s="4">
        <f t="shared" ref="I56:K56" si="0">SUM(I9:I55)</f>
        <v>49.933</v>
      </c>
      <c r="J56" s="4">
        <f t="shared" si="0"/>
        <v>209.27109999999999</v>
      </c>
      <c r="K56" s="35">
        <f t="shared" si="0"/>
        <v>1542.0855499999998</v>
      </c>
      <c r="L56" s="32"/>
      <c r="M56" s="4">
        <f>SUM(M9:M55)</f>
        <v>11.705400000000001</v>
      </c>
      <c r="N56" s="28"/>
    </row>
    <row r="57" spans="1:14">
      <c r="A57" s="181"/>
    </row>
    <row r="58" spans="1:14">
      <c r="A58" s="182"/>
    </row>
  </sheetData>
  <mergeCells count="59">
    <mergeCell ref="N5:N6"/>
    <mergeCell ref="A43:A56"/>
    <mergeCell ref="B55:D55"/>
    <mergeCell ref="K55:L55"/>
    <mergeCell ref="B56:D56"/>
    <mergeCell ref="A5:A6"/>
    <mergeCell ref="B5:D6"/>
    <mergeCell ref="E5:F5"/>
    <mergeCell ref="G5:G6"/>
    <mergeCell ref="H5:J5"/>
    <mergeCell ref="K5:L6"/>
    <mergeCell ref="A19:A33"/>
    <mergeCell ref="A39:A41"/>
    <mergeCell ref="B21:D21"/>
    <mergeCell ref="B47:D47"/>
    <mergeCell ref="B48:D48"/>
    <mergeCell ref="M5:M6"/>
    <mergeCell ref="K43:L43"/>
    <mergeCell ref="A8:A18"/>
    <mergeCell ref="B8:F8"/>
    <mergeCell ref="B9:D9"/>
    <mergeCell ref="B10:D10"/>
    <mergeCell ref="B11:D11"/>
    <mergeCell ref="B12:D12"/>
    <mergeCell ref="B13:D13"/>
    <mergeCell ref="B14:D14"/>
    <mergeCell ref="B15:D15"/>
    <mergeCell ref="B16:D16"/>
    <mergeCell ref="B30:D30"/>
    <mergeCell ref="K19:L19"/>
    <mergeCell ref="B24:D24"/>
    <mergeCell ref="B38:D38"/>
    <mergeCell ref="B52:D52"/>
    <mergeCell ref="B36:D36"/>
    <mergeCell ref="B37:D37"/>
    <mergeCell ref="B32:D32"/>
    <mergeCell ref="B41:D41"/>
    <mergeCell ref="B46:D46"/>
    <mergeCell ref="B43:D43"/>
    <mergeCell ref="B44:D44"/>
    <mergeCell ref="B45:D45"/>
    <mergeCell ref="B31:D31"/>
    <mergeCell ref="B35:D35"/>
    <mergeCell ref="B23:D23"/>
    <mergeCell ref="B20:D20"/>
    <mergeCell ref="B17:D17"/>
    <mergeCell ref="B53:D53"/>
    <mergeCell ref="B54:D54"/>
    <mergeCell ref="B18:D18"/>
    <mergeCell ref="B19:F19"/>
    <mergeCell ref="B22:D22"/>
    <mergeCell ref="B27:D27"/>
    <mergeCell ref="B28:D28"/>
    <mergeCell ref="B34:D34"/>
    <mergeCell ref="B25:D25"/>
    <mergeCell ref="B26:D26"/>
    <mergeCell ref="B29:D29"/>
    <mergeCell ref="B51:D51"/>
    <mergeCell ref="B50:D50"/>
  </mergeCells>
  <printOptions horizontalCentered="1" verticalCentered="1"/>
  <pageMargins left="0.31496062992125984" right="0.11811023622047245" top="0.15748031496062992" bottom="0.74803149606299213" header="0.11811023622047245" footer="0.31496062992125984"/>
  <pageSetup paperSize="9" scale="70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18"/>
  <sheetViews>
    <sheetView topLeftCell="A94" workbookViewId="0">
      <selection activeCell="A108" sqref="A108:M108"/>
    </sheetView>
  </sheetViews>
  <sheetFormatPr defaultRowHeight="15"/>
  <sheetData>
    <row r="1" spans="1:14" ht="15.75" thickBot="1"/>
    <row r="2" spans="1:14" ht="15.75" thickBot="1">
      <c r="A2" s="278" t="s">
        <v>140</v>
      </c>
      <c r="B2" s="279"/>
      <c r="C2" s="279"/>
      <c r="D2" s="119"/>
      <c r="E2" s="121"/>
      <c r="F2" s="137">
        <v>150</v>
      </c>
      <c r="G2" s="4"/>
      <c r="H2" s="4"/>
      <c r="I2" s="4"/>
      <c r="J2" s="285"/>
      <c r="K2" s="286"/>
      <c r="L2" s="4"/>
      <c r="M2" s="68"/>
    </row>
    <row r="3" spans="1:14" ht="15.75" thickBot="1">
      <c r="A3" s="277" t="s">
        <v>74</v>
      </c>
      <c r="B3" s="277"/>
      <c r="C3" s="277"/>
      <c r="D3" s="120">
        <v>100</v>
      </c>
      <c r="E3" s="120">
        <v>100</v>
      </c>
      <c r="F3" s="4"/>
      <c r="G3" s="4">
        <f>16/100*E3</f>
        <v>16</v>
      </c>
      <c r="H3" s="4">
        <f>9/100*E3</f>
        <v>9</v>
      </c>
      <c r="I3" s="4">
        <f>3/100*E3</f>
        <v>3</v>
      </c>
      <c r="J3" s="17">
        <f>157/100*E3</f>
        <v>157</v>
      </c>
      <c r="K3" s="127"/>
      <c r="L3" s="126">
        <f>0.5/100*100</f>
        <v>0.5</v>
      </c>
      <c r="M3" s="68"/>
    </row>
    <row r="4" spans="1:14" ht="15.75" thickBot="1">
      <c r="A4" s="280" t="s">
        <v>48</v>
      </c>
      <c r="B4" s="281"/>
      <c r="C4" s="281"/>
      <c r="D4" s="120">
        <v>3</v>
      </c>
      <c r="E4" s="120">
        <v>3</v>
      </c>
      <c r="F4" s="4"/>
      <c r="G4" s="4">
        <f>0.4/100*E4</f>
        <v>1.2E-2</v>
      </c>
      <c r="H4" s="4">
        <f>78.5/100*3</f>
        <v>2.355</v>
      </c>
      <c r="I4" s="4">
        <f>0.5/100*3</f>
        <v>1.4999999999999999E-2</v>
      </c>
      <c r="J4" s="17">
        <f>734/100*3</f>
        <v>22.02</v>
      </c>
      <c r="K4" s="18"/>
      <c r="L4" s="4">
        <v>0</v>
      </c>
      <c r="M4" s="68"/>
    </row>
    <row r="5" spans="1:14" ht="15.75" thickBot="1">
      <c r="A5" s="277" t="s">
        <v>36</v>
      </c>
      <c r="B5" s="277"/>
      <c r="C5" s="277"/>
      <c r="D5" s="120">
        <v>2</v>
      </c>
      <c r="E5" s="120">
        <v>2</v>
      </c>
      <c r="F5" s="4"/>
      <c r="G5" s="4">
        <v>0</v>
      </c>
      <c r="H5" s="4">
        <f>99.9/100*2</f>
        <v>1.9980000000000002</v>
      </c>
      <c r="I5" s="4">
        <v>0</v>
      </c>
      <c r="J5" s="130">
        <f>900/100*2</f>
        <v>18</v>
      </c>
      <c r="K5" s="123"/>
      <c r="L5" s="4">
        <v>0</v>
      </c>
      <c r="M5" s="5"/>
    </row>
    <row r="6" spans="1:14" ht="15.75" thickBot="1">
      <c r="A6" s="277" t="s">
        <v>50</v>
      </c>
      <c r="B6" s="277"/>
      <c r="C6" s="277"/>
      <c r="D6" s="120">
        <v>5</v>
      </c>
      <c r="E6" s="120">
        <v>5</v>
      </c>
      <c r="F6" s="4"/>
      <c r="G6" s="4">
        <f>12.7/100*5</f>
        <v>0.63500000000000001</v>
      </c>
      <c r="H6" s="4">
        <f>11.5/100*5</f>
        <v>0.57500000000000007</v>
      </c>
      <c r="I6" s="4">
        <f>0.7/100*5</f>
        <v>3.4999999999999996E-2</v>
      </c>
      <c r="J6" s="130">
        <f>241/100*5</f>
        <v>12.05</v>
      </c>
      <c r="K6" s="123"/>
      <c r="L6" s="4">
        <v>0</v>
      </c>
      <c r="M6" s="68"/>
      <c r="N6">
        <v>1</v>
      </c>
    </row>
    <row r="7" spans="1:14" ht="15.75" thickBot="1">
      <c r="A7" s="280" t="s">
        <v>47</v>
      </c>
      <c r="B7" s="283"/>
      <c r="C7" s="284"/>
      <c r="D7" s="120">
        <v>10</v>
      </c>
      <c r="E7" s="88">
        <v>10</v>
      </c>
      <c r="F7" s="4"/>
      <c r="G7" s="4">
        <v>0</v>
      </c>
      <c r="H7" s="4">
        <v>0</v>
      </c>
      <c r="I7" s="4">
        <f>100/100*10</f>
        <v>10</v>
      </c>
      <c r="J7" s="17">
        <f>400/100*10</f>
        <v>40</v>
      </c>
      <c r="K7" s="127"/>
      <c r="L7" s="4">
        <v>0</v>
      </c>
      <c r="M7" s="68"/>
    </row>
    <row r="8" spans="1:14" ht="15.75" thickBot="1">
      <c r="A8" s="12"/>
      <c r="B8" s="133" t="s">
        <v>46</v>
      </c>
      <c r="C8" s="13"/>
      <c r="D8" s="120">
        <v>20</v>
      </c>
      <c r="E8" s="120">
        <v>20</v>
      </c>
      <c r="F8" s="68"/>
      <c r="G8" s="4">
        <f>2.8/100*E8</f>
        <v>0.55999999999999994</v>
      </c>
      <c r="H8" s="4">
        <f>2.5/100*E8</f>
        <v>0.5</v>
      </c>
      <c r="I8" s="4">
        <f>4.7/100*E8</f>
        <v>0.94</v>
      </c>
      <c r="J8" s="130">
        <f>55/100*E8</f>
        <v>11</v>
      </c>
      <c r="K8" s="123"/>
      <c r="L8" s="4">
        <f>1/100*E8</f>
        <v>0.2</v>
      </c>
      <c r="M8" s="68"/>
    </row>
    <row r="9" spans="1:14" ht="15.75" thickBot="1">
      <c r="A9" s="322" t="s">
        <v>80</v>
      </c>
      <c r="B9" s="283"/>
      <c r="C9" s="284"/>
      <c r="D9" s="120">
        <v>15</v>
      </c>
      <c r="E9" s="120">
        <v>15</v>
      </c>
      <c r="F9" s="120"/>
      <c r="G9" s="4">
        <f>0.3/100*15</f>
        <v>4.4999999999999998E-2</v>
      </c>
      <c r="H9" s="4">
        <v>0</v>
      </c>
      <c r="I9" s="4">
        <f>60.2/100*15</f>
        <v>9.0299999999999994</v>
      </c>
      <c r="J9" s="130">
        <f>248/100*15</f>
        <v>37.200000000000003</v>
      </c>
      <c r="K9" s="123"/>
      <c r="L9" s="4">
        <v>0</v>
      </c>
      <c r="M9" s="5"/>
    </row>
    <row r="10" spans="1:14" ht="15.75" thickBot="1">
      <c r="A10" s="280" t="s">
        <v>141</v>
      </c>
      <c r="B10" s="281"/>
      <c r="C10" s="281"/>
      <c r="D10" s="120">
        <v>12</v>
      </c>
      <c r="E10" s="120">
        <v>12</v>
      </c>
      <c r="F10" s="120"/>
      <c r="G10" s="120">
        <f>10.3/100*E10</f>
        <v>1.2360000000000002</v>
      </c>
      <c r="H10" s="120">
        <f>1/100*E10</f>
        <v>0.12</v>
      </c>
      <c r="I10" s="120">
        <f>68/100*E10</f>
        <v>8.16</v>
      </c>
      <c r="J10" s="132">
        <f>328/100*E10</f>
        <v>39.36</v>
      </c>
      <c r="K10" s="121"/>
      <c r="L10" s="120">
        <v>0</v>
      </c>
      <c r="M10" s="120"/>
    </row>
    <row r="11" spans="1:14" ht="15.75" thickBot="1">
      <c r="F11" s="46"/>
    </row>
    <row r="12" spans="1:14" ht="15.75" thickBot="1">
      <c r="A12" s="12" t="s">
        <v>164</v>
      </c>
      <c r="B12" s="13"/>
      <c r="C12" s="13"/>
      <c r="D12" s="134"/>
      <c r="E12" s="21"/>
      <c r="F12" s="66">
        <v>20</v>
      </c>
      <c r="G12" s="3"/>
      <c r="H12" s="3"/>
      <c r="I12" s="3"/>
      <c r="J12" s="311"/>
      <c r="K12" s="312"/>
      <c r="L12" s="3"/>
      <c r="M12" s="5"/>
    </row>
    <row r="13" spans="1:14" ht="15.75" thickBot="1">
      <c r="A13" s="12"/>
      <c r="B13" s="13" t="s">
        <v>58</v>
      </c>
      <c r="C13" s="133"/>
      <c r="D13" s="15">
        <v>25</v>
      </c>
      <c r="E13" s="15">
        <v>25</v>
      </c>
      <c r="F13" s="5"/>
      <c r="G13" s="3">
        <f>10.3/100*25</f>
        <v>2.5750000000000002</v>
      </c>
      <c r="H13" s="3">
        <f>1.1/100*25</f>
        <v>0.27500000000000002</v>
      </c>
      <c r="I13" s="3">
        <f>70.6/100*25</f>
        <v>17.649999999999999</v>
      </c>
      <c r="J13" s="130">
        <f>334/100*25</f>
        <v>83.5</v>
      </c>
      <c r="K13" s="123"/>
      <c r="L13" s="3">
        <v>0</v>
      </c>
      <c r="M13" s="5"/>
    </row>
    <row r="14" spans="1:14" ht="15.75" thickBot="1">
      <c r="A14" s="12"/>
      <c r="B14" s="13" t="s">
        <v>46</v>
      </c>
      <c r="C14" s="13"/>
      <c r="D14" s="15">
        <v>10</v>
      </c>
      <c r="E14" s="15">
        <v>10</v>
      </c>
      <c r="F14" s="5"/>
      <c r="G14" s="3">
        <f>2.8/100*10</f>
        <v>0.27999999999999997</v>
      </c>
      <c r="H14" s="3">
        <f>2.5/100*E14</f>
        <v>0.25</v>
      </c>
      <c r="I14" s="3">
        <f>4.7/100*E14</f>
        <v>0.47</v>
      </c>
      <c r="J14" s="17">
        <f>55/100*E14</f>
        <v>5.5</v>
      </c>
      <c r="K14" s="127"/>
      <c r="L14" s="3">
        <f>1/100*20</f>
        <v>0.2</v>
      </c>
      <c r="M14" s="5"/>
    </row>
    <row r="15" spans="1:14" ht="15.75" thickBot="1">
      <c r="A15" s="12"/>
      <c r="B15" s="13" t="s">
        <v>59</v>
      </c>
      <c r="C15" s="13"/>
      <c r="D15" s="15">
        <v>1</v>
      </c>
      <c r="E15" s="15">
        <v>1</v>
      </c>
      <c r="F15" s="5"/>
      <c r="G15" s="3">
        <f>12.5/100*1</f>
        <v>0.125</v>
      </c>
      <c r="H15" s="3">
        <f>0.4/100*1</f>
        <v>4.0000000000000001E-3</v>
      </c>
      <c r="I15" s="3">
        <f>8.3/100*1</f>
        <v>8.3000000000000004E-2</v>
      </c>
      <c r="J15" s="130">
        <f>85/100*1</f>
        <v>0.85</v>
      </c>
      <c r="K15" s="123"/>
      <c r="L15" s="3">
        <v>0</v>
      </c>
      <c r="M15" s="5"/>
    </row>
    <row r="16" spans="1:14" ht="15.75" thickBot="1">
      <c r="A16" s="12"/>
      <c r="B16" s="13" t="s">
        <v>50</v>
      </c>
      <c r="C16" s="13"/>
      <c r="D16" s="15">
        <v>3</v>
      </c>
      <c r="E16" s="15">
        <v>3</v>
      </c>
      <c r="F16" s="5"/>
      <c r="G16" s="3">
        <f>12.7/100*E16</f>
        <v>0.38100000000000001</v>
      </c>
      <c r="H16" s="3">
        <f>11.5/100*E16</f>
        <v>0.34500000000000003</v>
      </c>
      <c r="I16" s="3">
        <f>0.7/100*E16</f>
        <v>2.0999999999999998E-2</v>
      </c>
      <c r="J16" s="130">
        <f>241/100*E16</f>
        <v>7.23</v>
      </c>
      <c r="K16" s="123"/>
      <c r="L16" s="3">
        <v>0</v>
      </c>
      <c r="M16" s="5"/>
      <c r="N16">
        <v>2</v>
      </c>
    </row>
    <row r="17" spans="1:14" ht="15.75" thickBot="1">
      <c r="A17" s="12"/>
      <c r="B17" s="13" t="s">
        <v>60</v>
      </c>
      <c r="C17" s="13"/>
      <c r="D17" s="15">
        <v>1.5</v>
      </c>
      <c r="E17" s="15">
        <v>1.5</v>
      </c>
      <c r="F17" s="5"/>
      <c r="G17" s="3">
        <v>0</v>
      </c>
      <c r="H17" s="3">
        <f>99.9/100*E17</f>
        <v>1.4985000000000002</v>
      </c>
      <c r="I17" s="3">
        <v>0</v>
      </c>
      <c r="J17" s="130">
        <f>900/100*E17</f>
        <v>13.5</v>
      </c>
      <c r="K17" s="123"/>
      <c r="L17" s="3">
        <v>0</v>
      </c>
      <c r="M17" s="5"/>
    </row>
    <row r="18" spans="1:14" ht="15.75" thickBot="1">
      <c r="A18" s="12"/>
      <c r="B18" s="13" t="s">
        <v>48</v>
      </c>
      <c r="C18" s="13"/>
      <c r="D18" s="15">
        <v>3</v>
      </c>
      <c r="E18" s="15">
        <v>3</v>
      </c>
      <c r="F18" s="5"/>
      <c r="G18" s="3">
        <f>0.4/100*3</f>
        <v>1.2E-2</v>
      </c>
      <c r="H18" s="3">
        <f>78.5/100*3</f>
        <v>2.355</v>
      </c>
      <c r="I18" s="3">
        <f>0.5/100*3</f>
        <v>1.4999999999999999E-2</v>
      </c>
      <c r="J18" s="130">
        <f>734/100*3</f>
        <v>22.02</v>
      </c>
      <c r="K18" s="123"/>
      <c r="L18" s="3">
        <v>0</v>
      </c>
      <c r="M18" s="5"/>
    </row>
    <row r="19" spans="1:14" ht="15.75" thickBot="1">
      <c r="A19" s="12"/>
      <c r="B19" s="13" t="s">
        <v>47</v>
      </c>
      <c r="C19" s="13"/>
      <c r="D19" s="15">
        <v>3</v>
      </c>
      <c r="E19" s="15">
        <v>3</v>
      </c>
      <c r="F19" s="5"/>
      <c r="G19" s="3">
        <v>0</v>
      </c>
      <c r="H19" s="3">
        <v>0</v>
      </c>
      <c r="I19" s="3">
        <f>100/100*E19</f>
        <v>3</v>
      </c>
      <c r="J19" s="130">
        <f>400/100*E19</f>
        <v>12</v>
      </c>
      <c r="K19" s="123"/>
      <c r="L19" s="3">
        <v>0</v>
      </c>
      <c r="M19" s="5"/>
    </row>
    <row r="20" spans="1:14" ht="15.75" thickBot="1">
      <c r="A20" s="12"/>
      <c r="B20" s="13" t="s">
        <v>61</v>
      </c>
      <c r="C20" s="13"/>
      <c r="D20" s="15">
        <v>8</v>
      </c>
      <c r="E20" s="15">
        <v>8</v>
      </c>
      <c r="F20" s="5"/>
      <c r="G20" s="3">
        <f>7.7/100*8</f>
        <v>0.61599999999999999</v>
      </c>
      <c r="H20" s="3">
        <f>8.5/100*8</f>
        <v>0.68</v>
      </c>
      <c r="I20" s="3">
        <f>54.5/100*8</f>
        <v>4.3600000000000003</v>
      </c>
      <c r="J20" s="17">
        <f>330/100*8</f>
        <v>26.4</v>
      </c>
      <c r="K20" s="127"/>
      <c r="L20" s="3">
        <v>0</v>
      </c>
      <c r="M20" s="5"/>
    </row>
    <row r="21" spans="1:14" ht="15.75" thickBot="1"/>
    <row r="22" spans="1:14" ht="15.75" thickBot="1">
      <c r="A22" s="278" t="s">
        <v>148</v>
      </c>
      <c r="B22" s="279"/>
      <c r="C22" s="279"/>
      <c r="D22" s="164"/>
      <c r="E22" s="165"/>
      <c r="F22" s="137">
        <v>100</v>
      </c>
      <c r="G22" s="4"/>
      <c r="H22" s="4"/>
      <c r="I22" s="4"/>
      <c r="J22" s="285"/>
      <c r="K22" s="286"/>
      <c r="L22" s="4"/>
      <c r="M22" s="68"/>
    </row>
    <row r="23" spans="1:14" ht="15.75" thickBot="1">
      <c r="A23" s="280" t="s">
        <v>48</v>
      </c>
      <c r="B23" s="281"/>
      <c r="C23" s="281"/>
      <c r="D23" s="120">
        <v>3</v>
      </c>
      <c r="E23" s="120">
        <v>3</v>
      </c>
      <c r="F23" s="4"/>
      <c r="G23" s="4">
        <f>0.4/100*3</f>
        <v>1.2E-2</v>
      </c>
      <c r="H23" s="4">
        <f>78.5/100*3</f>
        <v>2.355</v>
      </c>
      <c r="I23" s="4">
        <f>0.5/100*3</f>
        <v>1.4999999999999999E-2</v>
      </c>
      <c r="J23" s="17">
        <f>734/100*3</f>
        <v>22.02</v>
      </c>
      <c r="K23" s="127"/>
      <c r="L23" s="4">
        <v>0</v>
      </c>
      <c r="M23" s="68"/>
    </row>
    <row r="24" spans="1:14" ht="15.75" thickBot="1">
      <c r="A24" s="277" t="s">
        <v>50</v>
      </c>
      <c r="B24" s="277"/>
      <c r="C24" s="277"/>
      <c r="D24" s="120">
        <v>60</v>
      </c>
      <c r="E24" s="120">
        <v>60</v>
      </c>
      <c r="F24" s="4"/>
      <c r="G24" s="4">
        <f>12.7/100*60</f>
        <v>7.62</v>
      </c>
      <c r="H24" s="4">
        <f>11.5/100*60</f>
        <v>6.9</v>
      </c>
      <c r="I24" s="4">
        <f>0.7/100*60</f>
        <v>0.41999999999999993</v>
      </c>
      <c r="J24" s="130">
        <f>241/100*60</f>
        <v>144.60000000000002</v>
      </c>
      <c r="K24" s="123"/>
      <c r="L24" s="4">
        <v>0</v>
      </c>
      <c r="M24" s="68"/>
      <c r="N24">
        <v>3</v>
      </c>
    </row>
    <row r="25" spans="1:14" ht="15.75" thickBot="1">
      <c r="A25" s="280" t="s">
        <v>46</v>
      </c>
      <c r="B25" s="281"/>
      <c r="C25" s="281"/>
      <c r="D25" s="120">
        <v>60</v>
      </c>
      <c r="E25" s="120">
        <v>60</v>
      </c>
      <c r="F25" s="120"/>
      <c r="G25" s="120">
        <f>2.8/100*60</f>
        <v>1.6799999999999997</v>
      </c>
      <c r="H25" s="120">
        <f>22.5/100*60</f>
        <v>13.5</v>
      </c>
      <c r="I25" s="120">
        <f>4.7/100*60</f>
        <v>2.82</v>
      </c>
      <c r="J25" s="132">
        <f>55/100*60</f>
        <v>33</v>
      </c>
      <c r="K25" s="121"/>
      <c r="L25" s="120">
        <f>1/100*60</f>
        <v>0.6</v>
      </c>
      <c r="M25" s="120"/>
    </row>
    <row r="26" spans="1:14" ht="15.75" thickBot="1"/>
    <row r="27" spans="1:14" ht="15.75" thickBot="1">
      <c r="A27" s="278" t="s">
        <v>165</v>
      </c>
      <c r="B27" s="279"/>
      <c r="C27" s="279"/>
      <c r="D27" s="178"/>
      <c r="E27" s="21"/>
      <c r="F27" s="137">
        <v>150</v>
      </c>
      <c r="G27" s="3"/>
      <c r="H27" s="3"/>
      <c r="I27" s="3"/>
      <c r="J27" s="17"/>
      <c r="K27" s="18"/>
      <c r="L27" s="3"/>
      <c r="M27" s="5"/>
    </row>
    <row r="28" spans="1:14" ht="15.75" thickBot="1">
      <c r="A28" s="277" t="s">
        <v>46</v>
      </c>
      <c r="B28" s="277"/>
      <c r="C28" s="277"/>
      <c r="D28" s="15">
        <v>20</v>
      </c>
      <c r="E28" s="15">
        <v>20</v>
      </c>
      <c r="F28" s="3"/>
      <c r="G28" s="120">
        <f>2.8/100*50</f>
        <v>1.4</v>
      </c>
      <c r="H28" s="120">
        <f>2.5/100*50</f>
        <v>1.25</v>
      </c>
      <c r="I28" s="120">
        <f>4.7/100*50</f>
        <v>2.35</v>
      </c>
      <c r="J28" s="89">
        <f>55/100*50</f>
        <v>27.500000000000004</v>
      </c>
      <c r="K28" s="90"/>
      <c r="L28" s="120">
        <f>1/100*50</f>
        <v>0.5</v>
      </c>
      <c r="M28" s="5"/>
    </row>
    <row r="29" spans="1:14" ht="15.75" thickBot="1">
      <c r="A29" s="280" t="s">
        <v>58</v>
      </c>
      <c r="B29" s="283"/>
      <c r="C29" s="284"/>
      <c r="D29" s="15">
        <v>50</v>
      </c>
      <c r="E29" s="15">
        <v>50</v>
      </c>
      <c r="F29" s="5"/>
      <c r="G29" s="3">
        <f>10.3/100*50</f>
        <v>5.15</v>
      </c>
      <c r="H29" s="3">
        <f>1.1/100*50</f>
        <v>0.55000000000000004</v>
      </c>
      <c r="I29" s="3">
        <f>70.6/100*50</f>
        <v>35.299999999999997</v>
      </c>
      <c r="J29" s="130">
        <f>334/100*50</f>
        <v>167</v>
      </c>
      <c r="K29" s="131"/>
      <c r="L29" s="3">
        <v>0</v>
      </c>
      <c r="M29" s="5"/>
    </row>
    <row r="30" spans="1:14" ht="15.75" thickBot="1">
      <c r="A30" s="280" t="s">
        <v>48</v>
      </c>
      <c r="B30" s="283"/>
      <c r="C30" s="284"/>
      <c r="D30" s="15">
        <v>3</v>
      </c>
      <c r="E30" s="15">
        <v>3</v>
      </c>
      <c r="F30" s="3"/>
      <c r="G30" s="3">
        <f>0.4/100*3</f>
        <v>1.2E-2</v>
      </c>
      <c r="H30" s="3">
        <f>78.5/100*3</f>
        <v>2.355</v>
      </c>
      <c r="I30" s="3">
        <f>0.5/100*3</f>
        <v>1.4999999999999999E-2</v>
      </c>
      <c r="J30" s="17">
        <f>734/100*3</f>
        <v>22.02</v>
      </c>
      <c r="K30" s="18"/>
      <c r="L30" s="3">
        <v>0</v>
      </c>
      <c r="M30" s="5"/>
    </row>
    <row r="31" spans="1:14" ht="15.75" thickBot="1">
      <c r="A31" s="280" t="s">
        <v>60</v>
      </c>
      <c r="B31" s="281"/>
      <c r="C31" s="281"/>
      <c r="D31" s="15">
        <v>6</v>
      </c>
      <c r="E31" s="15">
        <v>6</v>
      </c>
      <c r="F31" s="5"/>
      <c r="G31" s="1">
        <v>0</v>
      </c>
      <c r="H31" s="1">
        <f>99.9/100*6</f>
        <v>5.9940000000000007</v>
      </c>
      <c r="I31" s="1">
        <v>0</v>
      </c>
      <c r="J31" s="17">
        <f>900/100*6</f>
        <v>54</v>
      </c>
      <c r="K31" s="18"/>
      <c r="L31" s="1">
        <v>0</v>
      </c>
      <c r="M31" s="5"/>
    </row>
    <row r="32" spans="1:14" ht="15.75" thickBot="1">
      <c r="A32" s="280" t="s">
        <v>59</v>
      </c>
      <c r="B32" s="283"/>
      <c r="C32" s="284"/>
      <c r="D32" s="15">
        <v>1</v>
      </c>
      <c r="E32" s="15">
        <v>1</v>
      </c>
      <c r="F32" s="5"/>
      <c r="G32" s="3">
        <f>12.5/100*1</f>
        <v>0.125</v>
      </c>
      <c r="H32" s="3">
        <f>0.4/100*1</f>
        <v>4.0000000000000001E-3</v>
      </c>
      <c r="I32" s="3">
        <f>8.3/100*1</f>
        <v>8.3000000000000004E-2</v>
      </c>
      <c r="J32" s="130">
        <f>85/100*1</f>
        <v>0.85</v>
      </c>
      <c r="K32" s="131"/>
      <c r="L32" s="3">
        <v>0</v>
      </c>
      <c r="M32" s="5"/>
      <c r="N32">
        <v>4</v>
      </c>
    </row>
    <row r="33" spans="1:14" ht="15.75" thickBot="1">
      <c r="A33" s="277" t="s">
        <v>50</v>
      </c>
      <c r="B33" s="277"/>
      <c r="C33" s="277"/>
      <c r="D33" s="15">
        <v>5</v>
      </c>
      <c r="E33" s="15">
        <v>5</v>
      </c>
      <c r="F33" s="3"/>
      <c r="G33" s="3">
        <f>12.7/100*5</f>
        <v>0.63500000000000001</v>
      </c>
      <c r="H33" s="3">
        <f>11.5/100*5</f>
        <v>0.57500000000000007</v>
      </c>
      <c r="I33" s="3">
        <f>0.7/100*5</f>
        <v>3.4999999999999996E-2</v>
      </c>
      <c r="J33" s="130">
        <f>241/100*5</f>
        <v>12.05</v>
      </c>
      <c r="K33" s="131"/>
      <c r="L33" s="3">
        <v>0</v>
      </c>
      <c r="M33" s="5"/>
    </row>
    <row r="34" spans="1:14" ht="15.75" thickBot="1">
      <c r="A34" s="23"/>
      <c r="B34" s="119" t="s">
        <v>53</v>
      </c>
      <c r="C34" s="129"/>
      <c r="D34" s="15">
        <v>65</v>
      </c>
      <c r="E34" s="15">
        <v>50</v>
      </c>
      <c r="F34" s="5"/>
      <c r="G34" s="3">
        <f>1.2/100*50</f>
        <v>0.6</v>
      </c>
      <c r="H34" s="3">
        <v>0</v>
      </c>
      <c r="I34" s="3">
        <f>4.1/100*50</f>
        <v>2.0499999999999998</v>
      </c>
      <c r="J34" s="130">
        <f>22/100*50</f>
        <v>11</v>
      </c>
      <c r="K34" s="131"/>
      <c r="L34" s="3">
        <f>24/100*50</f>
        <v>12</v>
      </c>
      <c r="M34" s="5"/>
    </row>
    <row r="35" spans="1:14" ht="15.75" thickBot="1">
      <c r="A35" s="277" t="s">
        <v>54</v>
      </c>
      <c r="B35" s="277"/>
      <c r="C35" s="277"/>
      <c r="D35" s="15">
        <v>12</v>
      </c>
      <c r="E35" s="15">
        <v>10</v>
      </c>
      <c r="F35" s="3"/>
      <c r="G35" s="3">
        <f>0.2/100*10</f>
        <v>0.02</v>
      </c>
      <c r="H35" s="3">
        <v>0</v>
      </c>
      <c r="I35" s="3">
        <f>10/100*10</f>
        <v>1</v>
      </c>
      <c r="J35" s="130">
        <f>42/100*10</f>
        <v>4.2</v>
      </c>
      <c r="K35" s="131"/>
      <c r="L35" s="3">
        <f>8.5/100*10</f>
        <v>0.85000000000000009</v>
      </c>
      <c r="M35" s="5"/>
    </row>
    <row r="36" spans="1:14" ht="15.75" thickBot="1">
      <c r="A36" s="117"/>
      <c r="B36" s="119" t="s">
        <v>55</v>
      </c>
      <c r="C36" s="121"/>
      <c r="D36" s="15">
        <v>16</v>
      </c>
      <c r="E36" s="15">
        <v>10</v>
      </c>
      <c r="F36" s="3"/>
      <c r="G36" s="3">
        <f>1/100*10</f>
        <v>0.1</v>
      </c>
      <c r="H36" s="3">
        <v>0</v>
      </c>
      <c r="I36" s="3">
        <f>6.1/100*10</f>
        <v>0.61</v>
      </c>
      <c r="J36" s="130">
        <f>29/100*10</f>
        <v>2.9</v>
      </c>
      <c r="K36" s="131"/>
      <c r="L36" s="3">
        <f>4/100*10</f>
        <v>0.4</v>
      </c>
      <c r="M36" s="5"/>
    </row>
    <row r="37" spans="1:14" ht="15.75" thickBot="1">
      <c r="A37" s="280" t="s">
        <v>69</v>
      </c>
      <c r="B37" s="283"/>
      <c r="C37" s="284"/>
      <c r="D37" s="15">
        <v>40</v>
      </c>
      <c r="E37" s="15">
        <v>40</v>
      </c>
      <c r="F37" s="5"/>
      <c r="G37" s="3">
        <f>18.9/100*40</f>
        <v>7.5599999999999987</v>
      </c>
      <c r="H37" s="3">
        <f>12.4/100*40</f>
        <v>4.96</v>
      </c>
      <c r="I37" s="3">
        <v>0</v>
      </c>
      <c r="J37" s="17">
        <f>187/100*40</f>
        <v>74.800000000000011</v>
      </c>
      <c r="K37" s="18"/>
      <c r="L37" s="3">
        <v>0</v>
      </c>
      <c r="M37" s="5"/>
    </row>
    <row r="38" spans="1:14" ht="15.75" thickBot="1"/>
    <row r="39" spans="1:14" ht="15.75" thickBot="1">
      <c r="A39" s="278" t="s">
        <v>73</v>
      </c>
      <c r="B39" s="279"/>
      <c r="C39" s="279"/>
      <c r="D39" s="178"/>
      <c r="E39" s="21"/>
      <c r="F39" s="137">
        <v>125</v>
      </c>
      <c r="G39" s="3"/>
      <c r="H39" s="3"/>
      <c r="I39" s="3"/>
      <c r="J39" s="285"/>
      <c r="K39" s="286"/>
      <c r="L39" s="3"/>
      <c r="M39" s="5"/>
    </row>
    <row r="40" spans="1:14" ht="15.75" thickBot="1">
      <c r="A40" s="277" t="s">
        <v>74</v>
      </c>
      <c r="B40" s="277"/>
      <c r="C40" s="277"/>
      <c r="D40" s="15">
        <v>80</v>
      </c>
      <c r="E40" s="15">
        <v>80</v>
      </c>
      <c r="F40" s="3"/>
      <c r="G40" s="3">
        <f>16/100*80</f>
        <v>12.8</v>
      </c>
      <c r="H40" s="3">
        <f>9/100*80</f>
        <v>7.1999999999999993</v>
      </c>
      <c r="I40" s="3">
        <f>3/100*80</f>
        <v>2.4</v>
      </c>
      <c r="J40" s="17">
        <f>157/100*80</f>
        <v>125.60000000000001</v>
      </c>
      <c r="K40" s="18"/>
      <c r="L40" s="17">
        <f>0.5/100*100</f>
        <v>0.5</v>
      </c>
      <c r="M40" s="5"/>
    </row>
    <row r="41" spans="1:14" ht="15.75" thickBot="1">
      <c r="A41" s="280" t="s">
        <v>48</v>
      </c>
      <c r="B41" s="281"/>
      <c r="C41" s="281"/>
      <c r="D41" s="15">
        <v>5</v>
      </c>
      <c r="E41" s="15">
        <v>5</v>
      </c>
      <c r="F41" s="3"/>
      <c r="G41" s="3">
        <f>0.4/100*5</f>
        <v>0.02</v>
      </c>
      <c r="H41" s="3">
        <f>78.5/100*5</f>
        <v>3.9250000000000003</v>
      </c>
      <c r="I41" s="3">
        <f>0.5/100*5</f>
        <v>2.5000000000000001E-2</v>
      </c>
      <c r="J41" s="17">
        <f>734/100*5</f>
        <v>36.700000000000003</v>
      </c>
      <c r="K41" s="18"/>
      <c r="L41" s="3">
        <v>0</v>
      </c>
      <c r="M41" s="5"/>
    </row>
    <row r="42" spans="1:14" ht="15.75" thickBot="1">
      <c r="A42" s="277" t="s">
        <v>50</v>
      </c>
      <c r="B42" s="277"/>
      <c r="C42" s="277"/>
      <c r="D42" s="15">
        <v>5</v>
      </c>
      <c r="E42" s="15">
        <v>5</v>
      </c>
      <c r="F42" s="3"/>
      <c r="G42" s="3">
        <f>12.7/100*5</f>
        <v>0.63500000000000001</v>
      </c>
      <c r="H42" s="3">
        <f>11.5/100*5</f>
        <v>0.57500000000000007</v>
      </c>
      <c r="I42" s="3">
        <f>0.7/100*5</f>
        <v>3.4999999999999996E-2</v>
      </c>
      <c r="J42" s="130">
        <f>241/100*5</f>
        <v>12.05</v>
      </c>
      <c r="K42" s="123"/>
      <c r="L42" s="3">
        <v>0</v>
      </c>
      <c r="M42" s="5"/>
    </row>
    <row r="43" spans="1:14" ht="15.75" thickBot="1">
      <c r="A43" s="280" t="s">
        <v>47</v>
      </c>
      <c r="B43" s="283"/>
      <c r="C43" s="284"/>
      <c r="D43" s="15">
        <v>10</v>
      </c>
      <c r="E43" s="15">
        <v>10</v>
      </c>
      <c r="F43" s="3"/>
      <c r="G43" s="3">
        <v>0</v>
      </c>
      <c r="H43" s="3">
        <v>0</v>
      </c>
      <c r="I43" s="3">
        <f>100/100*10</f>
        <v>10</v>
      </c>
      <c r="J43" s="17">
        <f>400/100*10</f>
        <v>40</v>
      </c>
      <c r="K43" s="127"/>
      <c r="L43" s="3">
        <v>0</v>
      </c>
      <c r="M43" s="5"/>
      <c r="N43">
        <v>5</v>
      </c>
    </row>
    <row r="44" spans="1:14" ht="15.75" thickBot="1">
      <c r="A44" s="280" t="s">
        <v>51</v>
      </c>
      <c r="B44" s="283"/>
      <c r="C44" s="284"/>
      <c r="D44" s="15">
        <v>20</v>
      </c>
      <c r="E44" s="15">
        <v>20</v>
      </c>
      <c r="F44" s="3"/>
      <c r="G44" s="3">
        <f>10.3/100*20</f>
        <v>2.06</v>
      </c>
      <c r="H44" s="3">
        <f>1.1/100*20</f>
        <v>0.22000000000000003</v>
      </c>
      <c r="I44" s="3">
        <f>70.6/100*20</f>
        <v>14.12</v>
      </c>
      <c r="J44" s="130">
        <f>334/100*20</f>
        <v>66.8</v>
      </c>
      <c r="K44" s="123"/>
      <c r="L44" s="3">
        <v>0</v>
      </c>
      <c r="M44" s="5"/>
    </row>
    <row r="45" spans="1:14" ht="15.75" thickBot="1">
      <c r="A45" s="117" t="s">
        <v>166</v>
      </c>
      <c r="B45" s="119"/>
      <c r="C45" s="119"/>
      <c r="D45" s="178"/>
      <c r="E45" s="21"/>
      <c r="F45" s="137">
        <v>70</v>
      </c>
      <c r="G45" s="1"/>
      <c r="H45" s="1"/>
      <c r="I45" s="1"/>
      <c r="J45" s="130"/>
      <c r="K45" s="123"/>
      <c r="L45" s="1"/>
      <c r="M45" s="5"/>
    </row>
    <row r="46" spans="1:14" ht="15.75" thickBot="1">
      <c r="A46" s="280" t="s">
        <v>46</v>
      </c>
      <c r="B46" s="281"/>
      <c r="C46" s="281"/>
      <c r="D46" s="15">
        <v>25</v>
      </c>
      <c r="E46" s="15">
        <v>25</v>
      </c>
      <c r="F46" s="120"/>
      <c r="G46" s="15">
        <f>2.8/100*25</f>
        <v>0.7</v>
      </c>
      <c r="H46" s="15">
        <f>22.5/100*25</f>
        <v>5.625</v>
      </c>
      <c r="I46" s="15">
        <f>4.7/100*25</f>
        <v>1.175</v>
      </c>
      <c r="J46" s="89">
        <f>55/100*25</f>
        <v>13.750000000000002</v>
      </c>
      <c r="K46" s="8"/>
      <c r="L46" s="15">
        <f>1/100*25</f>
        <v>0.25</v>
      </c>
      <c r="M46" s="120"/>
    </row>
    <row r="47" spans="1:14" ht="15.75" thickBot="1">
      <c r="A47" s="280" t="s">
        <v>51</v>
      </c>
      <c r="B47" s="283"/>
      <c r="C47" s="284"/>
      <c r="D47" s="15">
        <v>5</v>
      </c>
      <c r="E47" s="15">
        <v>5</v>
      </c>
      <c r="F47" s="3"/>
      <c r="G47" s="22">
        <f>10.3/100*5</f>
        <v>0.51500000000000001</v>
      </c>
      <c r="H47" s="22">
        <f>1.1/100*5</f>
        <v>5.5000000000000007E-2</v>
      </c>
      <c r="I47" s="22">
        <f>70.6/100*5</f>
        <v>3.53</v>
      </c>
      <c r="J47" s="130">
        <f>334/100*5</f>
        <v>16.7</v>
      </c>
      <c r="K47" s="123"/>
      <c r="L47" s="22">
        <v>0</v>
      </c>
      <c r="M47" s="5"/>
    </row>
    <row r="48" spans="1:14" ht="15.75" thickBot="1">
      <c r="A48" s="23"/>
      <c r="B48" s="119" t="s">
        <v>47</v>
      </c>
      <c r="C48" s="119"/>
      <c r="D48" s="15">
        <v>5</v>
      </c>
      <c r="E48" s="15">
        <v>5</v>
      </c>
      <c r="F48" s="1"/>
      <c r="G48" s="22">
        <v>0</v>
      </c>
      <c r="H48" s="22">
        <v>0</v>
      </c>
      <c r="I48" s="22">
        <f>100/100*5</f>
        <v>5</v>
      </c>
      <c r="J48" s="17">
        <f>400/100*5</f>
        <v>20</v>
      </c>
      <c r="K48" s="127"/>
      <c r="L48" s="22">
        <v>0</v>
      </c>
      <c r="M48" s="5"/>
    </row>
    <row r="49" spans="1:14" ht="15.75" thickBot="1"/>
    <row r="50" spans="1:14" ht="15.75" thickBot="1">
      <c r="A50" s="278" t="s">
        <v>167</v>
      </c>
      <c r="B50" s="279"/>
      <c r="C50" s="279"/>
      <c r="D50" s="178"/>
      <c r="E50" s="21"/>
      <c r="F50" s="66">
        <v>120</v>
      </c>
      <c r="G50" s="3"/>
      <c r="H50" s="3"/>
      <c r="I50" s="3"/>
      <c r="J50" s="122"/>
      <c r="K50" s="123"/>
      <c r="L50" s="3"/>
      <c r="M50" s="5"/>
    </row>
    <row r="51" spans="1:14" ht="15.75" thickBot="1">
      <c r="A51" s="277" t="s">
        <v>46</v>
      </c>
      <c r="B51" s="277"/>
      <c r="C51" s="277"/>
      <c r="D51" s="15">
        <v>20</v>
      </c>
      <c r="E51" s="15">
        <v>20</v>
      </c>
      <c r="F51" s="3"/>
      <c r="G51" s="15">
        <f>2.8/100*50</f>
        <v>1.4</v>
      </c>
      <c r="H51" s="15">
        <f>2.5/100*50</f>
        <v>1.25</v>
      </c>
      <c r="I51" s="15">
        <f>4.7/100*50</f>
        <v>2.35</v>
      </c>
      <c r="J51" s="89">
        <f>55/100*50</f>
        <v>27.500000000000004</v>
      </c>
      <c r="K51" s="90"/>
      <c r="L51" s="15">
        <f>1/100*50</f>
        <v>0.5</v>
      </c>
      <c r="M51" s="5"/>
    </row>
    <row r="52" spans="1:14" ht="15.75" thickBot="1">
      <c r="A52" s="280" t="s">
        <v>58</v>
      </c>
      <c r="B52" s="283"/>
      <c r="C52" s="284"/>
      <c r="D52" s="15">
        <v>50</v>
      </c>
      <c r="E52" s="15">
        <v>50</v>
      </c>
      <c r="F52" s="5"/>
      <c r="G52" s="22">
        <f>10.3/100*50</f>
        <v>5.15</v>
      </c>
      <c r="H52" s="22">
        <f>1.1/100*50</f>
        <v>0.55000000000000004</v>
      </c>
      <c r="I52" s="22">
        <f>70.6/100*50</f>
        <v>35.299999999999997</v>
      </c>
      <c r="J52" s="130">
        <f>334/100*50</f>
        <v>167</v>
      </c>
      <c r="K52" s="131"/>
      <c r="L52" s="22">
        <v>0</v>
      </c>
      <c r="M52" s="5"/>
    </row>
    <row r="53" spans="1:14" ht="15.75" thickBot="1">
      <c r="A53" s="280" t="s">
        <v>48</v>
      </c>
      <c r="B53" s="283"/>
      <c r="C53" s="284"/>
      <c r="D53" s="15">
        <v>3</v>
      </c>
      <c r="E53" s="15">
        <v>3</v>
      </c>
      <c r="F53" s="3"/>
      <c r="G53" s="22">
        <f>0.4/100*3</f>
        <v>1.2E-2</v>
      </c>
      <c r="H53" s="22">
        <f>78.5/100*3</f>
        <v>2.355</v>
      </c>
      <c r="I53" s="22">
        <f>0.5/100*3</f>
        <v>1.4999999999999999E-2</v>
      </c>
      <c r="J53" s="17">
        <f>734/100*3</f>
        <v>22.02</v>
      </c>
      <c r="K53" s="18"/>
      <c r="L53" s="22">
        <v>0</v>
      </c>
      <c r="M53" s="5"/>
    </row>
    <row r="54" spans="1:14" ht="15.75" thickBot="1">
      <c r="A54" s="280" t="s">
        <v>60</v>
      </c>
      <c r="B54" s="281"/>
      <c r="C54" s="281"/>
      <c r="D54" s="15">
        <v>6</v>
      </c>
      <c r="E54" s="15">
        <v>6</v>
      </c>
      <c r="F54" s="5"/>
      <c r="G54" s="15">
        <v>0</v>
      </c>
      <c r="H54" s="15">
        <f>99.9/100*6</f>
        <v>5.9940000000000007</v>
      </c>
      <c r="I54" s="15">
        <v>0</v>
      </c>
      <c r="J54" s="17">
        <f>900/100*6</f>
        <v>54</v>
      </c>
      <c r="K54" s="18"/>
      <c r="L54" s="15">
        <v>0</v>
      </c>
      <c r="M54" s="5"/>
    </row>
    <row r="55" spans="1:14" ht="15.75" thickBot="1">
      <c r="A55" s="280" t="s">
        <v>59</v>
      </c>
      <c r="B55" s="283"/>
      <c r="C55" s="284"/>
      <c r="D55" s="15">
        <v>1</v>
      </c>
      <c r="E55" s="15">
        <v>1</v>
      </c>
      <c r="F55" s="5"/>
      <c r="G55" s="22">
        <f>12.5/100*1</f>
        <v>0.125</v>
      </c>
      <c r="H55" s="22">
        <f>0.4/100*1</f>
        <v>4.0000000000000001E-3</v>
      </c>
      <c r="I55" s="22">
        <f>8.3*100*1</f>
        <v>830.00000000000011</v>
      </c>
      <c r="J55" s="130">
        <f>85/100*1</f>
        <v>0.85</v>
      </c>
      <c r="K55" s="131"/>
      <c r="L55" s="3">
        <v>0</v>
      </c>
      <c r="M55" s="5"/>
      <c r="N55">
        <v>6</v>
      </c>
    </row>
    <row r="56" spans="1:14" ht="15.75" thickBot="1">
      <c r="A56" s="277" t="s">
        <v>50</v>
      </c>
      <c r="B56" s="277"/>
      <c r="C56" s="277"/>
      <c r="D56" s="15">
        <v>5</v>
      </c>
      <c r="E56" s="15">
        <v>5</v>
      </c>
      <c r="F56" s="3"/>
      <c r="G56" s="22">
        <f>12.7/100*5</f>
        <v>0.63500000000000001</v>
      </c>
      <c r="H56" s="22">
        <f>11.5/100*5</f>
        <v>0.57500000000000007</v>
      </c>
      <c r="I56" s="22">
        <f>0.7/100*5</f>
        <v>3.4999999999999996E-2</v>
      </c>
      <c r="J56" s="130">
        <f>241/100*5</f>
        <v>12.05</v>
      </c>
      <c r="K56" s="131"/>
      <c r="L56" s="3">
        <v>0</v>
      </c>
      <c r="M56" s="5"/>
    </row>
    <row r="57" spans="1:14" ht="15.75" thickBot="1">
      <c r="A57" s="117"/>
      <c r="B57" s="133" t="s">
        <v>79</v>
      </c>
      <c r="C57" s="13"/>
      <c r="D57" s="15">
        <v>30</v>
      </c>
      <c r="E57" s="15">
        <v>30</v>
      </c>
      <c r="F57" s="5"/>
      <c r="G57" s="22">
        <f>12/100*30</f>
        <v>3.5999999999999996</v>
      </c>
      <c r="H57" s="22">
        <f>19.1/100*30</f>
        <v>5.73</v>
      </c>
      <c r="I57" s="22">
        <v>0</v>
      </c>
      <c r="J57" s="17">
        <f>220/100*30</f>
        <v>66</v>
      </c>
      <c r="K57" s="18"/>
      <c r="L57" s="3">
        <v>0</v>
      </c>
      <c r="M57" s="5"/>
    </row>
    <row r="58" spans="1:14" ht="15.75" thickBot="1">
      <c r="A58" s="277" t="s">
        <v>54</v>
      </c>
      <c r="B58" s="277"/>
      <c r="C58" s="277"/>
      <c r="D58" s="15">
        <v>12</v>
      </c>
      <c r="E58" s="15">
        <v>10</v>
      </c>
      <c r="F58" s="3"/>
      <c r="G58" s="22">
        <f>0.2/100*10</f>
        <v>0.02</v>
      </c>
      <c r="H58" s="22">
        <v>0</v>
      </c>
      <c r="I58" s="22">
        <f>10/100*10</f>
        <v>1</v>
      </c>
      <c r="J58" s="130">
        <f>42/100*10</f>
        <v>4.2</v>
      </c>
      <c r="K58" s="131"/>
      <c r="L58" s="3">
        <f>8.5/100*10</f>
        <v>0.85000000000000009</v>
      </c>
      <c r="M58" s="5"/>
    </row>
    <row r="59" spans="1:14" ht="15.75" thickBot="1">
      <c r="A59" s="117"/>
      <c r="B59" s="119" t="s">
        <v>55</v>
      </c>
      <c r="C59" s="121"/>
      <c r="D59" s="15">
        <v>16</v>
      </c>
      <c r="E59" s="15">
        <v>10</v>
      </c>
      <c r="F59" s="3"/>
      <c r="G59" s="22">
        <f>1/100*10</f>
        <v>0.1</v>
      </c>
      <c r="H59" s="22">
        <v>0</v>
      </c>
      <c r="I59" s="22">
        <f>6.1/100*10</f>
        <v>0.61</v>
      </c>
      <c r="J59" s="130">
        <f>29/100*10</f>
        <v>2.9</v>
      </c>
      <c r="K59" s="131"/>
      <c r="L59" s="3">
        <f>4/100*10</f>
        <v>0.4</v>
      </c>
      <c r="M59" s="5"/>
    </row>
    <row r="60" spans="1:14" ht="15.75" thickBot="1">
      <c r="A60" s="280" t="s">
        <v>67</v>
      </c>
      <c r="B60" s="283"/>
      <c r="C60" s="284"/>
      <c r="D60" s="15">
        <v>15</v>
      </c>
      <c r="E60" s="15">
        <v>15</v>
      </c>
      <c r="F60" s="5"/>
      <c r="G60" s="22">
        <f>21.5/100*15</f>
        <v>3.2250000000000001</v>
      </c>
      <c r="H60" s="22">
        <f>22.5/100*15</f>
        <v>3.375</v>
      </c>
      <c r="I60" s="22">
        <v>0</v>
      </c>
      <c r="J60" s="17">
        <f>288/100*15</f>
        <v>43.199999999999996</v>
      </c>
      <c r="K60" s="18"/>
      <c r="L60" s="3">
        <v>0</v>
      </c>
      <c r="M60" s="5"/>
    </row>
    <row r="61" spans="1:14" ht="15.75" thickBot="1"/>
    <row r="62" spans="1:14" ht="15.75" thickBot="1">
      <c r="A62" s="12" t="s">
        <v>168</v>
      </c>
      <c r="B62" s="13"/>
      <c r="C62" s="14"/>
      <c r="D62" s="175"/>
      <c r="E62" s="21"/>
      <c r="F62" s="137">
        <v>120</v>
      </c>
      <c r="G62" s="3"/>
      <c r="H62" s="3"/>
      <c r="I62" s="3"/>
      <c r="J62" s="122"/>
      <c r="K62" s="123"/>
      <c r="L62" s="3"/>
      <c r="M62" s="5"/>
    </row>
    <row r="63" spans="1:14" ht="15.75" thickBot="1">
      <c r="A63" s="280" t="s">
        <v>50</v>
      </c>
      <c r="B63" s="283"/>
      <c r="C63" s="284"/>
      <c r="D63" s="15">
        <v>60</v>
      </c>
      <c r="E63" s="15">
        <v>60</v>
      </c>
      <c r="F63" s="138"/>
      <c r="G63" s="3">
        <f>12.7/100*60</f>
        <v>7.62</v>
      </c>
      <c r="H63" s="3">
        <f>11.5/100*60</f>
        <v>6.9</v>
      </c>
      <c r="I63" s="3">
        <f>0.7/100*60</f>
        <v>0.41999999999999993</v>
      </c>
      <c r="J63" s="130">
        <f>241/100*60</f>
        <v>144.60000000000002</v>
      </c>
      <c r="K63" s="20"/>
      <c r="L63" s="3">
        <v>0</v>
      </c>
      <c r="M63" s="5"/>
    </row>
    <row r="64" spans="1:14" ht="15.75" thickBot="1">
      <c r="A64" s="277" t="s">
        <v>46</v>
      </c>
      <c r="B64" s="277"/>
      <c r="C64" s="277"/>
      <c r="D64" s="15">
        <v>60</v>
      </c>
      <c r="E64" s="15">
        <v>60</v>
      </c>
      <c r="F64" s="138"/>
      <c r="G64" s="15">
        <f>2.8/100*60</f>
        <v>1.6799999999999997</v>
      </c>
      <c r="H64" s="15">
        <f>2.5/100*60</f>
        <v>1.5</v>
      </c>
      <c r="I64" s="15">
        <f>4.7/100*60</f>
        <v>2.82</v>
      </c>
      <c r="J64" s="89">
        <f>55/100*60</f>
        <v>33</v>
      </c>
      <c r="K64" s="8"/>
      <c r="L64" s="15">
        <f>1/100*60</f>
        <v>0.6</v>
      </c>
      <c r="M64" s="5"/>
      <c r="N64">
        <v>7</v>
      </c>
    </row>
    <row r="65" spans="1:14" ht="15.75" thickBot="1">
      <c r="A65" s="118"/>
      <c r="B65" s="119" t="s">
        <v>79</v>
      </c>
      <c r="C65" s="129"/>
      <c r="D65" s="15">
        <v>40</v>
      </c>
      <c r="E65" s="15">
        <v>40</v>
      </c>
      <c r="F65" s="138"/>
      <c r="G65" s="3">
        <f>12/100*40</f>
        <v>4.8</v>
      </c>
      <c r="H65" s="3">
        <f>19.1/100*40</f>
        <v>7.6400000000000006</v>
      </c>
      <c r="I65" s="3">
        <v>0</v>
      </c>
      <c r="J65" s="17">
        <f>220/100*40</f>
        <v>88</v>
      </c>
      <c r="K65" s="18"/>
      <c r="L65" s="3">
        <v>0</v>
      </c>
      <c r="M65" s="5"/>
    </row>
    <row r="66" spans="1:14" ht="15.75" thickBot="1">
      <c r="A66" s="118"/>
      <c r="B66" s="119" t="s">
        <v>48</v>
      </c>
      <c r="C66" s="129"/>
      <c r="D66" s="15">
        <v>3</v>
      </c>
      <c r="E66" s="15">
        <v>3</v>
      </c>
      <c r="F66" s="138"/>
      <c r="G66" s="3">
        <f>0.4/100*3</f>
        <v>1.2E-2</v>
      </c>
      <c r="H66" s="3">
        <f>78.5/100*3</f>
        <v>2.355</v>
      </c>
      <c r="I66" s="3">
        <f>0.5/100*3</f>
        <v>1.4999999999999999E-2</v>
      </c>
      <c r="J66" s="17">
        <f>734/100*3</f>
        <v>22.02</v>
      </c>
      <c r="K66" s="18"/>
      <c r="L66" s="3">
        <v>0</v>
      </c>
      <c r="M66" s="5"/>
    </row>
    <row r="67" spans="1:14" ht="15.75" thickBot="1">
      <c r="F67" s="139"/>
    </row>
    <row r="68" spans="1:14" ht="15.75" thickBot="1">
      <c r="A68" s="278" t="s">
        <v>110</v>
      </c>
      <c r="B68" s="279"/>
      <c r="C68" s="279"/>
      <c r="D68" s="178"/>
      <c r="E68" s="21"/>
      <c r="F68" s="137">
        <v>125</v>
      </c>
      <c r="G68" s="3"/>
      <c r="H68" s="3"/>
      <c r="I68" s="3"/>
      <c r="J68" s="285"/>
      <c r="K68" s="286"/>
      <c r="L68" s="3"/>
      <c r="M68" s="5"/>
    </row>
    <row r="69" spans="1:14" ht="15.75" thickBot="1">
      <c r="A69" s="277" t="s">
        <v>74</v>
      </c>
      <c r="B69" s="277"/>
      <c r="C69" s="277"/>
      <c r="D69" s="15">
        <v>100</v>
      </c>
      <c r="E69" s="15">
        <v>100</v>
      </c>
      <c r="F69" s="138"/>
      <c r="G69" s="3">
        <f>16/100*100</f>
        <v>16</v>
      </c>
      <c r="H69" s="3">
        <f>9/100*100</f>
        <v>9</v>
      </c>
      <c r="I69" s="3">
        <f>3/100*100</f>
        <v>3</v>
      </c>
      <c r="J69" s="17">
        <f>157/100*100</f>
        <v>157</v>
      </c>
      <c r="K69" s="127"/>
      <c r="L69" s="17">
        <f>0.5/100*100</f>
        <v>0.5</v>
      </c>
      <c r="M69" s="5"/>
    </row>
    <row r="70" spans="1:14" ht="15.75" thickBot="1">
      <c r="A70" s="280" t="s">
        <v>48</v>
      </c>
      <c r="B70" s="281"/>
      <c r="C70" s="281"/>
      <c r="D70" s="15">
        <v>5</v>
      </c>
      <c r="E70" s="15">
        <v>5</v>
      </c>
      <c r="F70" s="3"/>
      <c r="G70" s="3">
        <f>0.4/100*5</f>
        <v>0.02</v>
      </c>
      <c r="H70" s="3">
        <f>78.5/100*5</f>
        <v>3.9250000000000003</v>
      </c>
      <c r="I70" s="3">
        <f>0.5/100*5</f>
        <v>2.5000000000000001E-2</v>
      </c>
      <c r="J70" s="17">
        <f>734/100*5</f>
        <v>36.700000000000003</v>
      </c>
      <c r="K70" s="18"/>
      <c r="L70" s="3">
        <v>0</v>
      </c>
      <c r="M70" s="5"/>
    </row>
    <row r="71" spans="1:14" ht="15.75" thickBot="1">
      <c r="A71" s="277" t="s">
        <v>50</v>
      </c>
      <c r="B71" s="277"/>
      <c r="C71" s="277"/>
      <c r="D71" s="15">
        <v>8</v>
      </c>
      <c r="E71" s="15">
        <v>8</v>
      </c>
      <c r="F71" s="3"/>
      <c r="G71" s="3">
        <f>12.7/100*8</f>
        <v>1.016</v>
      </c>
      <c r="H71" s="3">
        <f>11.5/100*8</f>
        <v>0.92</v>
      </c>
      <c r="I71" s="3">
        <f>0.7/100*8</f>
        <v>5.5999999999999994E-2</v>
      </c>
      <c r="J71" s="130">
        <f>241/100*8</f>
        <v>19.28</v>
      </c>
      <c r="K71" s="123"/>
      <c r="L71" s="3">
        <v>0</v>
      </c>
      <c r="M71" s="5"/>
    </row>
    <row r="72" spans="1:14" ht="15.75" thickBot="1">
      <c r="A72" s="280" t="s">
        <v>47</v>
      </c>
      <c r="B72" s="283"/>
      <c r="C72" s="284"/>
      <c r="D72" s="15">
        <v>10</v>
      </c>
      <c r="E72" s="15">
        <v>10</v>
      </c>
      <c r="F72" s="3"/>
      <c r="G72" s="3">
        <v>0</v>
      </c>
      <c r="H72" s="3">
        <v>0</v>
      </c>
      <c r="I72" s="3">
        <f>100/100*10</f>
        <v>10</v>
      </c>
      <c r="J72" s="17">
        <f>400/100*10</f>
        <v>40</v>
      </c>
      <c r="K72" s="127"/>
      <c r="L72" s="3">
        <v>0</v>
      </c>
      <c r="M72" s="5"/>
    </row>
    <row r="73" spans="1:14" ht="15.75" thickBot="1">
      <c r="A73" s="280" t="s">
        <v>51</v>
      </c>
      <c r="B73" s="283"/>
      <c r="C73" s="284"/>
      <c r="D73" s="15">
        <v>20</v>
      </c>
      <c r="E73" s="15">
        <v>20</v>
      </c>
      <c r="F73" s="3"/>
      <c r="G73" s="3">
        <f>10.3/100*20</f>
        <v>2.06</v>
      </c>
      <c r="H73" s="3">
        <f>1.1/100*20</f>
        <v>0.22000000000000003</v>
      </c>
      <c r="I73" s="3">
        <f>70.6/100*20</f>
        <v>14.12</v>
      </c>
      <c r="J73" s="130">
        <f>334/100*20</f>
        <v>66.8</v>
      </c>
      <c r="K73" s="123"/>
      <c r="L73" s="3">
        <v>0</v>
      </c>
      <c r="M73" s="5"/>
      <c r="N73">
        <v>8</v>
      </c>
    </row>
    <row r="74" spans="1:14" ht="15.75" thickBot="1">
      <c r="A74" s="277" t="s">
        <v>60</v>
      </c>
      <c r="B74" s="277"/>
      <c r="C74" s="277"/>
      <c r="D74" s="15">
        <v>2</v>
      </c>
      <c r="E74" s="15">
        <v>2</v>
      </c>
      <c r="F74" s="3"/>
      <c r="G74" s="1">
        <v>0</v>
      </c>
      <c r="H74" s="1">
        <f>99.9/100*2</f>
        <v>1.9980000000000002</v>
      </c>
      <c r="I74" s="1">
        <v>0</v>
      </c>
      <c r="J74" s="17">
        <f>900/100*2</f>
        <v>18</v>
      </c>
      <c r="K74" s="18"/>
      <c r="L74" s="1">
        <v>0</v>
      </c>
      <c r="M74" s="5"/>
    </row>
    <row r="75" spans="1:14" ht="15.75" thickBot="1">
      <c r="A75" s="117" t="s">
        <v>166</v>
      </c>
      <c r="B75" s="119"/>
      <c r="C75" s="119"/>
      <c r="D75" s="178"/>
      <c r="E75" s="21"/>
      <c r="F75" s="137">
        <v>70</v>
      </c>
      <c r="G75" s="1"/>
      <c r="H75" s="1"/>
      <c r="I75" s="1"/>
      <c r="J75" s="130"/>
      <c r="K75" s="123"/>
      <c r="L75" s="1"/>
      <c r="M75" s="5"/>
    </row>
    <row r="76" spans="1:14" ht="15.75" thickBot="1">
      <c r="A76" s="280" t="s">
        <v>46</v>
      </c>
      <c r="B76" s="281"/>
      <c r="C76" s="281"/>
      <c r="D76" s="15">
        <v>25</v>
      </c>
      <c r="E76" s="15">
        <v>25</v>
      </c>
      <c r="F76" s="120"/>
      <c r="G76" s="15">
        <f>2.8/100*25</f>
        <v>0.7</v>
      </c>
      <c r="H76" s="15">
        <f>22.5/100*25</f>
        <v>5.625</v>
      </c>
      <c r="I76" s="15">
        <f>4.7/100*25</f>
        <v>1.175</v>
      </c>
      <c r="J76" s="89">
        <f>55/100*25</f>
        <v>13.750000000000002</v>
      </c>
      <c r="K76" s="8"/>
      <c r="L76" s="15">
        <f>1/100*25</f>
        <v>0.25</v>
      </c>
      <c r="M76" s="120"/>
    </row>
    <row r="77" spans="1:14" ht="15.75" thickBot="1">
      <c r="A77" s="280" t="s">
        <v>51</v>
      </c>
      <c r="B77" s="283"/>
      <c r="C77" s="284"/>
      <c r="D77" s="15">
        <v>5</v>
      </c>
      <c r="E77" s="15">
        <v>5</v>
      </c>
      <c r="F77" s="3"/>
      <c r="G77" s="22">
        <f>10.3/100*5</f>
        <v>0.51500000000000001</v>
      </c>
      <c r="H77" s="22">
        <f>1.1/100*5</f>
        <v>5.5000000000000007E-2</v>
      </c>
      <c r="I77" s="22">
        <f>70.6/100*5</f>
        <v>3.53</v>
      </c>
      <c r="J77" s="130">
        <f>334/100*5</f>
        <v>16.7</v>
      </c>
      <c r="K77" s="123"/>
      <c r="L77" s="22">
        <v>0</v>
      </c>
      <c r="M77" s="5"/>
    </row>
    <row r="78" spans="1:14" ht="15.75" thickBot="1">
      <c r="A78" s="23"/>
      <c r="B78" s="119" t="s">
        <v>47</v>
      </c>
      <c r="C78" s="119"/>
      <c r="D78" s="15">
        <v>5</v>
      </c>
      <c r="E78" s="15">
        <v>5</v>
      </c>
      <c r="F78" s="1"/>
      <c r="G78" s="22">
        <v>0</v>
      </c>
      <c r="H78" s="22">
        <v>0</v>
      </c>
      <c r="I78" s="22">
        <f>100/100*5</f>
        <v>5</v>
      </c>
      <c r="J78" s="17">
        <f>400/100*5</f>
        <v>20</v>
      </c>
      <c r="K78" s="18"/>
      <c r="L78" s="22">
        <v>0</v>
      </c>
      <c r="M78" s="5"/>
    </row>
    <row r="79" spans="1:14" ht="15.75" thickBot="1">
      <c r="J79" s="136"/>
    </row>
    <row r="80" spans="1:14" ht="15.75" thickBot="1">
      <c r="A80" s="209" t="s">
        <v>250</v>
      </c>
      <c r="B80" s="13"/>
      <c r="C80" s="13"/>
      <c r="D80" s="178"/>
      <c r="E80" s="21"/>
      <c r="F80" s="66">
        <v>50</v>
      </c>
      <c r="G80" s="3"/>
      <c r="H80" s="3"/>
      <c r="I80" s="3"/>
      <c r="J80" s="17"/>
      <c r="K80" s="18"/>
      <c r="L80" s="3"/>
      <c r="M80" s="5"/>
    </row>
    <row r="81" spans="1:14" ht="15.75" thickBot="1">
      <c r="A81" s="12"/>
      <c r="B81" s="219" t="s">
        <v>58</v>
      </c>
      <c r="C81" s="133"/>
      <c r="D81" s="15">
        <v>25</v>
      </c>
      <c r="E81" s="15">
        <v>25</v>
      </c>
      <c r="F81" s="5"/>
      <c r="G81" s="3">
        <f>10.3/100*E81</f>
        <v>2.5750000000000002</v>
      </c>
      <c r="H81" s="3">
        <f>1.1/100*E81</f>
        <v>0.27500000000000002</v>
      </c>
      <c r="I81" s="3">
        <f>70.6/100*E81</f>
        <v>17.649999999999999</v>
      </c>
      <c r="J81" s="130">
        <f>334/100*E81</f>
        <v>83.5</v>
      </c>
      <c r="K81" s="20"/>
      <c r="L81" s="3">
        <v>0</v>
      </c>
      <c r="M81" s="5"/>
    </row>
    <row r="82" spans="1:14" ht="15.75" thickBot="1">
      <c r="A82" s="12"/>
      <c r="B82" s="219" t="s">
        <v>50</v>
      </c>
      <c r="C82" s="13"/>
      <c r="D82" s="15">
        <v>3</v>
      </c>
      <c r="E82" s="15">
        <v>3</v>
      </c>
      <c r="F82" s="5"/>
      <c r="G82" s="3">
        <f>12.7/100*E82</f>
        <v>0.38100000000000001</v>
      </c>
      <c r="H82" s="3">
        <f>11.5/100*3</f>
        <v>0.34500000000000003</v>
      </c>
      <c r="I82" s="3">
        <f>0.7/100*3</f>
        <v>2.0999999999999998E-2</v>
      </c>
      <c r="J82" s="130">
        <f>241/100*3</f>
        <v>7.23</v>
      </c>
      <c r="K82" s="20"/>
      <c r="L82" s="3">
        <v>0</v>
      </c>
      <c r="M82" s="5"/>
    </row>
    <row r="83" spans="1:14" ht="15.75" thickBot="1">
      <c r="A83" s="12"/>
      <c r="B83" s="219" t="s">
        <v>48</v>
      </c>
      <c r="C83" s="13"/>
      <c r="D83" s="15">
        <v>5</v>
      </c>
      <c r="E83" s="15">
        <v>5</v>
      </c>
      <c r="F83" s="5"/>
      <c r="G83" s="3">
        <f>0.4/100*5</f>
        <v>0.02</v>
      </c>
      <c r="H83" s="3">
        <f>78.5/100*5</f>
        <v>3.9250000000000003</v>
      </c>
      <c r="I83" s="3">
        <f>0.5/100*5</f>
        <v>2.5000000000000001E-2</v>
      </c>
      <c r="J83" s="130">
        <f>734/100*5</f>
        <v>36.700000000000003</v>
      </c>
      <c r="K83" s="20"/>
      <c r="L83" s="3">
        <v>0</v>
      </c>
      <c r="M83" s="5"/>
      <c r="N83">
        <v>9</v>
      </c>
    </row>
    <row r="84" spans="1:14" ht="15.75" thickBot="1">
      <c r="A84" s="12"/>
      <c r="B84" s="219" t="s">
        <v>47</v>
      </c>
      <c r="C84" s="13"/>
      <c r="D84" s="15">
        <v>7</v>
      </c>
      <c r="E84" s="15">
        <v>7</v>
      </c>
      <c r="F84" s="5"/>
      <c r="G84" s="3">
        <v>0</v>
      </c>
      <c r="H84" s="3">
        <v>0</v>
      </c>
      <c r="I84" s="3">
        <f>100/100*7</f>
        <v>7</v>
      </c>
      <c r="J84" s="130">
        <f>400/100*7</f>
        <v>28</v>
      </c>
      <c r="K84" s="20"/>
      <c r="L84" s="3">
        <v>0</v>
      </c>
      <c r="M84" s="5"/>
    </row>
    <row r="85" spans="1:14" ht="15.75" thickBot="1">
      <c r="A85" s="117"/>
      <c r="B85" s="219" t="s">
        <v>109</v>
      </c>
      <c r="C85" s="13"/>
      <c r="D85" s="15">
        <v>10</v>
      </c>
      <c r="E85" s="15">
        <v>10</v>
      </c>
      <c r="F85" s="5"/>
      <c r="G85" s="3">
        <f>0.3/100*10</f>
        <v>0.03</v>
      </c>
      <c r="H85" s="3">
        <f>82/100*10</f>
        <v>8.1999999999999993</v>
      </c>
      <c r="I85" s="3">
        <f>1/100*10</f>
        <v>0.1</v>
      </c>
      <c r="J85" s="17">
        <f>743/100*10</f>
        <v>74.3</v>
      </c>
      <c r="K85" s="18"/>
      <c r="L85" s="3">
        <v>0</v>
      </c>
      <c r="M85" s="5"/>
    </row>
    <row r="86" spans="1:14" ht="15.75" thickBot="1"/>
    <row r="87" spans="1:14" ht="15.75" thickBot="1">
      <c r="A87" s="278" t="s">
        <v>114</v>
      </c>
      <c r="B87" s="279"/>
      <c r="C87" s="279"/>
      <c r="D87" s="178"/>
      <c r="E87" s="21"/>
      <c r="F87" s="66">
        <v>120</v>
      </c>
      <c r="G87" s="3"/>
      <c r="H87" s="3"/>
      <c r="I87" s="3"/>
      <c r="J87" s="122"/>
      <c r="K87" s="123"/>
      <c r="L87" s="3"/>
      <c r="M87" s="5"/>
    </row>
    <row r="88" spans="1:14" ht="15.75" thickBot="1">
      <c r="A88" s="277" t="s">
        <v>46</v>
      </c>
      <c r="B88" s="277"/>
      <c r="C88" s="277"/>
      <c r="D88" s="15">
        <v>20</v>
      </c>
      <c r="E88" s="15">
        <v>20</v>
      </c>
      <c r="F88" s="3"/>
      <c r="G88" s="15">
        <f>2.8/100*50</f>
        <v>1.4</v>
      </c>
      <c r="H88" s="15">
        <f>2.5/100*50</f>
        <v>1.25</v>
      </c>
      <c r="I88" s="15">
        <f>4.7/100*50</f>
        <v>2.35</v>
      </c>
      <c r="J88" s="89">
        <f>55/100*50</f>
        <v>27.500000000000004</v>
      </c>
      <c r="K88" s="8"/>
      <c r="L88" s="15">
        <f>1/100*50</f>
        <v>0.5</v>
      </c>
      <c r="M88" s="5"/>
    </row>
    <row r="89" spans="1:14" ht="15.75" thickBot="1">
      <c r="A89" s="280" t="s">
        <v>58</v>
      </c>
      <c r="B89" s="283"/>
      <c r="C89" s="284"/>
      <c r="D89" s="15">
        <v>50</v>
      </c>
      <c r="E89" s="15">
        <v>50</v>
      </c>
      <c r="F89" s="5"/>
      <c r="G89" s="3">
        <f>10.3/100*50</f>
        <v>5.15</v>
      </c>
      <c r="H89" s="3">
        <f>1.1/100*50</f>
        <v>0.55000000000000004</v>
      </c>
      <c r="I89" s="3">
        <f>70.6/100*50</f>
        <v>35.299999999999997</v>
      </c>
      <c r="J89" s="130">
        <f>334/100*50</f>
        <v>167</v>
      </c>
      <c r="K89" s="123"/>
      <c r="L89" s="3">
        <v>0</v>
      </c>
      <c r="M89" s="5"/>
    </row>
    <row r="90" spans="1:14" ht="15.75" thickBot="1">
      <c r="A90" s="280" t="s">
        <v>48</v>
      </c>
      <c r="B90" s="283"/>
      <c r="C90" s="284"/>
      <c r="D90" s="15">
        <v>3</v>
      </c>
      <c r="E90" s="15">
        <v>3</v>
      </c>
      <c r="F90" s="3"/>
      <c r="G90" s="3">
        <f>0.4/100*3</f>
        <v>1.2E-2</v>
      </c>
      <c r="H90" s="3">
        <f>78.5/100*3</f>
        <v>2.355</v>
      </c>
      <c r="I90" s="3">
        <f>0.5/100*3</f>
        <v>1.4999999999999999E-2</v>
      </c>
      <c r="J90" s="17">
        <f>734/100*3</f>
        <v>22.02</v>
      </c>
      <c r="K90" s="18"/>
      <c r="L90" s="3">
        <v>0</v>
      </c>
      <c r="M90" s="5"/>
    </row>
    <row r="91" spans="1:14" ht="15.75" thickBot="1">
      <c r="A91" s="280" t="s">
        <v>60</v>
      </c>
      <c r="B91" s="281"/>
      <c r="C91" s="281"/>
      <c r="D91" s="15">
        <v>6</v>
      </c>
      <c r="E91" s="15">
        <v>6</v>
      </c>
      <c r="F91" s="5"/>
      <c r="G91" s="1">
        <v>0</v>
      </c>
      <c r="H91" s="1">
        <f>99.9/100*6</f>
        <v>5.9940000000000007</v>
      </c>
      <c r="I91" s="1">
        <v>0</v>
      </c>
      <c r="J91" s="17">
        <f>900/100*6</f>
        <v>54</v>
      </c>
      <c r="K91" s="18"/>
      <c r="L91" s="1">
        <v>0</v>
      </c>
      <c r="M91" s="5"/>
    </row>
    <row r="92" spans="1:14" ht="15.75" thickBot="1">
      <c r="A92" s="280" t="s">
        <v>59</v>
      </c>
      <c r="B92" s="283"/>
      <c r="C92" s="284"/>
      <c r="D92" s="15">
        <v>1</v>
      </c>
      <c r="E92" s="15">
        <v>1</v>
      </c>
      <c r="F92" s="5"/>
      <c r="G92" s="3">
        <f>12.5/100*1</f>
        <v>0.125</v>
      </c>
      <c r="H92" s="3">
        <f>0.4/100*1</f>
        <v>4.0000000000000001E-3</v>
      </c>
      <c r="I92" s="3">
        <f>8.3/100*1</f>
        <v>8.3000000000000004E-2</v>
      </c>
      <c r="J92" s="130">
        <f>85/100*1</f>
        <v>0.85</v>
      </c>
      <c r="K92" s="123"/>
      <c r="L92" s="3">
        <v>0</v>
      </c>
      <c r="M92" s="5"/>
      <c r="N92">
        <v>10</v>
      </c>
    </row>
    <row r="93" spans="1:14" ht="15.75" thickBot="1">
      <c r="A93" s="277" t="s">
        <v>50</v>
      </c>
      <c r="B93" s="277"/>
      <c r="C93" s="277"/>
      <c r="D93" s="15">
        <v>5</v>
      </c>
      <c r="E93" s="15">
        <v>5</v>
      </c>
      <c r="F93" s="3"/>
      <c r="G93" s="3">
        <f>12.7/100*5</f>
        <v>0.63500000000000001</v>
      </c>
      <c r="H93" s="3">
        <f>11.5/100*5</f>
        <v>0.57500000000000007</v>
      </c>
      <c r="I93" s="3">
        <f>0.7/100*5</f>
        <v>3.4999999999999996E-2</v>
      </c>
      <c r="J93" s="130">
        <f>241/100*5</f>
        <v>12.05</v>
      </c>
      <c r="K93" s="123"/>
      <c r="L93" s="3">
        <v>0</v>
      </c>
      <c r="M93" s="5"/>
    </row>
    <row r="94" spans="1:14" ht="15.75" thickBot="1">
      <c r="A94" s="12"/>
      <c r="B94" s="119" t="s">
        <v>52</v>
      </c>
      <c r="C94" s="13"/>
      <c r="D94" s="15">
        <v>70</v>
      </c>
      <c r="E94" s="15">
        <v>50</v>
      </c>
      <c r="F94" s="5"/>
      <c r="G94" s="3">
        <f>1.2/100*50</f>
        <v>0.6</v>
      </c>
      <c r="H94" s="3">
        <v>0</v>
      </c>
      <c r="I94" s="3">
        <f>14/100*50</f>
        <v>7.0000000000000009</v>
      </c>
      <c r="J94" s="130">
        <f>62/100*50</f>
        <v>31</v>
      </c>
      <c r="K94" s="123"/>
      <c r="L94" s="3">
        <f>7.5/100*50</f>
        <v>3.75</v>
      </c>
      <c r="M94" s="5"/>
    </row>
    <row r="95" spans="1:14" ht="15.75" thickBot="1">
      <c r="A95" s="277" t="s">
        <v>54</v>
      </c>
      <c r="B95" s="277"/>
      <c r="C95" s="277"/>
      <c r="D95" s="15">
        <v>12</v>
      </c>
      <c r="E95" s="15">
        <v>10</v>
      </c>
      <c r="F95" s="3"/>
      <c r="G95" s="3">
        <f>0.2/100*10</f>
        <v>0.02</v>
      </c>
      <c r="H95" s="3">
        <v>0</v>
      </c>
      <c r="I95" s="3">
        <f>10/100*10</f>
        <v>1</v>
      </c>
      <c r="J95" s="130">
        <f>42/100*10</f>
        <v>4.2</v>
      </c>
      <c r="K95" s="123"/>
      <c r="L95" s="3">
        <f>8.5/100*10</f>
        <v>0.85000000000000009</v>
      </c>
      <c r="M95" s="5"/>
    </row>
    <row r="96" spans="1:14" ht="15.75" thickBot="1">
      <c r="A96" s="117"/>
      <c r="B96" s="119" t="s">
        <v>55</v>
      </c>
      <c r="C96" s="121"/>
      <c r="D96" s="15">
        <v>16</v>
      </c>
      <c r="E96" s="15">
        <v>10</v>
      </c>
      <c r="F96" s="3"/>
      <c r="G96" s="3">
        <f>1/100*10</f>
        <v>0.1</v>
      </c>
      <c r="H96" s="3">
        <v>0</v>
      </c>
      <c r="I96" s="3">
        <f>6.1/100*10</f>
        <v>0.61</v>
      </c>
      <c r="J96" s="17">
        <f>29/100*10</f>
        <v>2.9</v>
      </c>
      <c r="K96" s="127"/>
      <c r="L96" s="3">
        <f>4/100*10</f>
        <v>0.4</v>
      </c>
      <c r="M96" s="5"/>
    </row>
    <row r="97" spans="1:14" ht="15.75" thickBot="1"/>
    <row r="98" spans="1:14" ht="15.75" thickBot="1">
      <c r="A98" s="12" t="s">
        <v>139</v>
      </c>
      <c r="B98" s="13"/>
      <c r="C98" s="13"/>
      <c r="D98" s="178"/>
      <c r="E98" s="21"/>
      <c r="F98" s="66">
        <v>20</v>
      </c>
      <c r="G98" s="4">
        <f>8.5/100*F98</f>
        <v>1.7000000000000002</v>
      </c>
      <c r="H98" s="4">
        <f>3.5/100*F98</f>
        <v>0.70000000000000007</v>
      </c>
      <c r="I98" s="4">
        <f>69/100*F98</f>
        <v>13.799999999999999</v>
      </c>
      <c r="J98" s="17">
        <f>340/100*F98</f>
        <v>68</v>
      </c>
      <c r="K98" s="18"/>
      <c r="L98" s="4">
        <v>0</v>
      </c>
      <c r="M98" s="68"/>
      <c r="N98">
        <v>11</v>
      </c>
    </row>
    <row r="99" spans="1:14" ht="15.75" thickBot="1">
      <c r="D99" s="182"/>
      <c r="E99" s="182"/>
      <c r="G99" s="27"/>
      <c r="H99" s="27"/>
      <c r="I99" s="27"/>
    </row>
    <row r="100" spans="1:14" ht="15.75" thickBot="1">
      <c r="A100" s="12" t="s">
        <v>131</v>
      </c>
      <c r="B100" s="13"/>
      <c r="C100" s="13"/>
      <c r="D100" s="178"/>
      <c r="E100" s="21"/>
      <c r="F100" s="66">
        <v>20</v>
      </c>
      <c r="G100" s="4">
        <f>8.7/100*20</f>
        <v>1.7399999999999998</v>
      </c>
      <c r="H100" s="4">
        <f>7.7/100*20</f>
        <v>1.54</v>
      </c>
      <c r="I100" s="4">
        <f>66.1/100*20</f>
        <v>13.219999999999999</v>
      </c>
      <c r="J100" s="17">
        <f>368/100*20</f>
        <v>73.600000000000009</v>
      </c>
      <c r="K100" s="18"/>
      <c r="L100" s="4">
        <v>0</v>
      </c>
      <c r="M100" s="5"/>
      <c r="N100">
        <v>12</v>
      </c>
    </row>
    <row r="101" spans="1:14" ht="15.75" thickBot="1">
      <c r="D101" s="182"/>
      <c r="E101" s="182"/>
    </row>
    <row r="102" spans="1:14" ht="15.75" thickBot="1">
      <c r="A102" s="12" t="s">
        <v>146</v>
      </c>
      <c r="B102" s="13"/>
      <c r="C102" s="13"/>
      <c r="D102" s="164"/>
      <c r="E102" s="165"/>
      <c r="F102" s="66">
        <v>20</v>
      </c>
      <c r="G102" s="4">
        <f>8.5/100*20</f>
        <v>1.7000000000000002</v>
      </c>
      <c r="H102" s="4">
        <f>19/100*20</f>
        <v>3.8</v>
      </c>
      <c r="I102" s="4">
        <f>64/100*20</f>
        <v>12.8</v>
      </c>
      <c r="J102" s="17">
        <f>470/100*20</f>
        <v>94</v>
      </c>
      <c r="K102" s="127"/>
      <c r="L102" s="4">
        <v>0</v>
      </c>
      <c r="M102" s="68"/>
      <c r="N102">
        <v>13</v>
      </c>
    </row>
    <row r="103" spans="1:14" ht="15.75" thickBot="1">
      <c r="D103" s="182"/>
      <c r="E103" s="182"/>
      <c r="F103" s="46"/>
    </row>
    <row r="104" spans="1:14" ht="15.75" thickBot="1">
      <c r="A104" s="117" t="s">
        <v>184</v>
      </c>
      <c r="B104" s="13"/>
      <c r="C104" s="13"/>
      <c r="D104" s="178"/>
      <c r="E104" s="21"/>
      <c r="F104" s="66">
        <v>20</v>
      </c>
      <c r="G104" s="4">
        <f>5.5/100*20</f>
        <v>1.1000000000000001</v>
      </c>
      <c r="H104" s="4">
        <f>23/100*20</f>
        <v>4.6000000000000005</v>
      </c>
      <c r="I104" s="4">
        <f>67/100*20</f>
        <v>13.4</v>
      </c>
      <c r="J104" s="17">
        <f>490/100*20</f>
        <v>98</v>
      </c>
      <c r="K104" s="125"/>
      <c r="L104" s="4">
        <v>0</v>
      </c>
      <c r="M104" s="5"/>
      <c r="N104">
        <v>14</v>
      </c>
    </row>
    <row r="105" spans="1:14" ht="15.75" thickBot="1">
      <c r="D105" s="182"/>
      <c r="E105" s="182"/>
      <c r="G105" s="27"/>
      <c r="H105" s="27"/>
      <c r="I105" s="27"/>
    </row>
    <row r="106" spans="1:14" ht="15.75" thickBot="1">
      <c r="A106" s="117" t="s">
        <v>187</v>
      </c>
      <c r="B106" s="119"/>
      <c r="C106" s="164"/>
      <c r="D106" s="178"/>
      <c r="E106" s="21"/>
      <c r="F106" s="137">
        <v>22.5</v>
      </c>
      <c r="G106" s="4">
        <f>10/100*22.5</f>
        <v>2.25</v>
      </c>
      <c r="H106" s="4">
        <f>5/100*22.5</f>
        <v>1.125</v>
      </c>
      <c r="I106" s="4">
        <f>70/100*2.5</f>
        <v>1.75</v>
      </c>
      <c r="J106" s="17">
        <f>370/100*22.5</f>
        <v>83.25</v>
      </c>
      <c r="K106" s="125"/>
      <c r="L106" s="4">
        <v>0</v>
      </c>
      <c r="M106" s="5"/>
      <c r="N106">
        <v>15</v>
      </c>
    </row>
    <row r="107" spans="1:14" ht="15.75" thickBot="1">
      <c r="D107" s="182"/>
      <c r="E107" s="182"/>
      <c r="F107" s="139"/>
    </row>
    <row r="108" spans="1:14" ht="15.75" thickBot="1">
      <c r="A108" s="278" t="s">
        <v>185</v>
      </c>
      <c r="B108" s="279"/>
      <c r="C108" s="279"/>
      <c r="D108" s="178"/>
      <c r="E108" s="21"/>
      <c r="F108" s="137">
        <v>20</v>
      </c>
      <c r="G108" s="4">
        <f>7.4/100*20</f>
        <v>1.4800000000000002</v>
      </c>
      <c r="H108" s="4">
        <f>17.6/100*20</f>
        <v>3.5200000000000005</v>
      </c>
      <c r="I108" s="4">
        <f>64.2/100*20</f>
        <v>12.84</v>
      </c>
      <c r="J108" s="17">
        <f>445/100*20</f>
        <v>89</v>
      </c>
      <c r="K108" s="18"/>
      <c r="L108" s="4">
        <v>0</v>
      </c>
      <c r="M108" s="5"/>
      <c r="N108">
        <v>16</v>
      </c>
    </row>
    <row r="109" spans="1:14" ht="15.75" thickBot="1">
      <c r="D109" s="182"/>
      <c r="E109" s="182"/>
    </row>
    <row r="110" spans="1:14" ht="15.75" thickBot="1">
      <c r="A110" s="12" t="s">
        <v>42</v>
      </c>
      <c r="B110" s="13"/>
      <c r="C110" s="13"/>
      <c r="D110" s="178"/>
      <c r="E110" s="21"/>
      <c r="F110" s="66">
        <v>20</v>
      </c>
      <c r="G110" s="3">
        <f>5/100*20</f>
        <v>1</v>
      </c>
      <c r="H110" s="3">
        <f>5/100*20</f>
        <v>1</v>
      </c>
      <c r="I110" s="3">
        <f>71/100*20</f>
        <v>14.2</v>
      </c>
      <c r="J110" s="17">
        <f>360/100*20</f>
        <v>72</v>
      </c>
      <c r="K110" s="18"/>
      <c r="L110" s="4">
        <v>0</v>
      </c>
      <c r="M110" s="5"/>
      <c r="N110">
        <v>17</v>
      </c>
    </row>
    <row r="111" spans="1:14" ht="15.75" thickBot="1">
      <c r="D111" s="182"/>
      <c r="E111" s="182"/>
    </row>
    <row r="112" spans="1:14" ht="15.75" thickBot="1">
      <c r="A112" s="117" t="s">
        <v>186</v>
      </c>
      <c r="B112" s="119"/>
      <c r="C112" s="164"/>
      <c r="D112" s="178"/>
      <c r="E112" s="21"/>
      <c r="F112" s="137">
        <v>20</v>
      </c>
      <c r="G112" s="4">
        <f>10/100*22.5</f>
        <v>2.25</v>
      </c>
      <c r="H112" s="4">
        <f>5/100*22.5</f>
        <v>1.125</v>
      </c>
      <c r="I112" s="4">
        <f>70/100*2.5</f>
        <v>1.75</v>
      </c>
      <c r="J112" s="17">
        <f>370/100*22.5</f>
        <v>83.25</v>
      </c>
      <c r="K112" s="125"/>
      <c r="L112" s="4">
        <v>0</v>
      </c>
      <c r="M112" s="5"/>
      <c r="N112">
        <v>18</v>
      </c>
    </row>
    <row r="113" spans="1:14" ht="15.75" thickBot="1">
      <c r="D113" s="182"/>
      <c r="E113" s="182"/>
      <c r="L113" s="27"/>
    </row>
    <row r="114" spans="1:14" ht="15.75" thickBot="1">
      <c r="A114" s="278" t="s">
        <v>129</v>
      </c>
      <c r="B114" s="279"/>
      <c r="C114" s="279"/>
      <c r="D114" s="178"/>
      <c r="E114" s="21"/>
      <c r="F114" s="66">
        <v>50</v>
      </c>
      <c r="G114" s="3">
        <f>7/100*50</f>
        <v>3.5000000000000004</v>
      </c>
      <c r="H114" s="3">
        <f>1/100*50</f>
        <v>0.5</v>
      </c>
      <c r="I114" s="3">
        <f>46/100*50</f>
        <v>23</v>
      </c>
      <c r="J114" s="17">
        <f>200/100*50</f>
        <v>100</v>
      </c>
      <c r="K114" s="18"/>
      <c r="L114" s="4">
        <v>0</v>
      </c>
      <c r="M114" s="5"/>
      <c r="N114">
        <v>19</v>
      </c>
    </row>
    <row r="115" spans="1:14" ht="15.75" thickBot="1">
      <c r="D115" s="182"/>
      <c r="E115" s="182"/>
    </row>
    <row r="116" spans="1:14" ht="15.75" thickBot="1">
      <c r="A116" s="278" t="s">
        <v>129</v>
      </c>
      <c r="B116" s="279"/>
      <c r="C116" s="279"/>
      <c r="D116" s="178"/>
      <c r="E116" s="21"/>
      <c r="F116" s="66">
        <v>25</v>
      </c>
      <c r="G116" s="3">
        <f>7/100*25</f>
        <v>1.7500000000000002</v>
      </c>
      <c r="H116" s="3">
        <f>1/100*25</f>
        <v>0.25</v>
      </c>
      <c r="I116" s="3">
        <f>46/100*25</f>
        <v>11.5</v>
      </c>
      <c r="J116" s="17">
        <f>200/100*25</f>
        <v>50</v>
      </c>
      <c r="K116" s="18"/>
      <c r="L116" s="4">
        <v>0</v>
      </c>
      <c r="M116" s="5"/>
      <c r="N116">
        <v>20</v>
      </c>
    </row>
    <row r="117" spans="1:14" ht="15.75" thickBot="1">
      <c r="D117" s="182"/>
    </row>
    <row r="118" spans="1:14" ht="15.75" thickBot="1">
      <c r="A118" s="278" t="s">
        <v>130</v>
      </c>
      <c r="B118" s="279"/>
      <c r="C118" s="279"/>
      <c r="D118" s="13"/>
      <c r="E118" s="14"/>
      <c r="F118" s="66">
        <v>100</v>
      </c>
      <c r="G118" s="3">
        <f>0.2/100*100</f>
        <v>0.2</v>
      </c>
      <c r="H118" s="3">
        <v>0</v>
      </c>
      <c r="I118" s="3">
        <v>10.1</v>
      </c>
      <c r="J118" s="179">
        <v>42</v>
      </c>
      <c r="K118" s="180"/>
      <c r="L118" s="3">
        <v>6.2</v>
      </c>
      <c r="M118" s="66">
        <v>368</v>
      </c>
    </row>
  </sheetData>
  <mergeCells count="66">
    <mergeCell ref="A118:C118"/>
    <mergeCell ref="A6:C6"/>
    <mergeCell ref="A2:C2"/>
    <mergeCell ref="J2:K2"/>
    <mergeCell ref="A3:C3"/>
    <mergeCell ref="A4:C4"/>
    <mergeCell ref="A5:C5"/>
    <mergeCell ref="A27:C27"/>
    <mergeCell ref="A7:C7"/>
    <mergeCell ref="A9:C9"/>
    <mergeCell ref="A10:C10"/>
    <mergeCell ref="J12:K12"/>
    <mergeCell ref="A22:C22"/>
    <mergeCell ref="J22:K22"/>
    <mergeCell ref="A23:C23"/>
    <mergeCell ref="A24:C24"/>
    <mergeCell ref="A25:C25"/>
    <mergeCell ref="J39:K39"/>
    <mergeCell ref="A28:C28"/>
    <mergeCell ref="A29:C29"/>
    <mergeCell ref="A30:C30"/>
    <mergeCell ref="A31:C31"/>
    <mergeCell ref="A32:C32"/>
    <mergeCell ref="A33:C33"/>
    <mergeCell ref="A35:C35"/>
    <mergeCell ref="A37:C37"/>
    <mergeCell ref="A39:C39"/>
    <mergeCell ref="A40:C40"/>
    <mergeCell ref="A41:C41"/>
    <mergeCell ref="A42:C42"/>
    <mergeCell ref="A43:C43"/>
    <mergeCell ref="A44:C44"/>
    <mergeCell ref="A46:C46"/>
    <mergeCell ref="A47:C47"/>
    <mergeCell ref="A50:C50"/>
    <mergeCell ref="A51:C51"/>
    <mergeCell ref="A52:C52"/>
    <mergeCell ref="A58:C58"/>
    <mergeCell ref="A60:C60"/>
    <mergeCell ref="A63:C63"/>
    <mergeCell ref="A64:C64"/>
    <mergeCell ref="A53:C53"/>
    <mergeCell ref="A54:C54"/>
    <mergeCell ref="A55:C55"/>
    <mergeCell ref="A56:C56"/>
    <mergeCell ref="A68:C68"/>
    <mergeCell ref="J68:K68"/>
    <mergeCell ref="A69:C69"/>
    <mergeCell ref="A70:C70"/>
    <mergeCell ref="A71:C71"/>
    <mergeCell ref="A87:C87"/>
    <mergeCell ref="A88:C88"/>
    <mergeCell ref="A89:C89"/>
    <mergeCell ref="A90:C90"/>
    <mergeCell ref="A72:C72"/>
    <mergeCell ref="A73:C73"/>
    <mergeCell ref="A74:C74"/>
    <mergeCell ref="A76:C76"/>
    <mergeCell ref="A77:C77"/>
    <mergeCell ref="A108:C108"/>
    <mergeCell ref="A114:C114"/>
    <mergeCell ref="A116:C116"/>
    <mergeCell ref="A91:C91"/>
    <mergeCell ref="A92:C92"/>
    <mergeCell ref="A93:C93"/>
    <mergeCell ref="A95:C9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75"/>
  <sheetViews>
    <sheetView topLeftCell="A19" workbookViewId="0">
      <selection activeCell="A28" sqref="A28:M32"/>
    </sheetView>
  </sheetViews>
  <sheetFormatPr defaultRowHeight="15"/>
  <sheetData>
    <row r="1" spans="1:14" ht="15.75" thickBot="1"/>
    <row r="2" spans="1:14" ht="15.75" thickBot="1">
      <c r="A2" s="278" t="s">
        <v>169</v>
      </c>
      <c r="B2" s="279"/>
      <c r="C2" s="279"/>
      <c r="D2" s="279"/>
      <c r="E2" s="298"/>
      <c r="F2" s="65">
        <v>200</v>
      </c>
      <c r="G2" s="120"/>
      <c r="H2" s="120"/>
      <c r="I2" s="120"/>
      <c r="J2" s="7"/>
      <c r="K2" s="8"/>
      <c r="L2" s="120"/>
      <c r="M2" s="120"/>
    </row>
    <row r="3" spans="1:14" ht="15.75" thickBot="1">
      <c r="A3" s="280" t="s">
        <v>65</v>
      </c>
      <c r="B3" s="281"/>
      <c r="C3" s="281"/>
      <c r="D3" s="120">
        <v>25</v>
      </c>
      <c r="E3" s="120">
        <v>25</v>
      </c>
      <c r="F3" s="120"/>
      <c r="G3" s="120">
        <f>11.5/100*25</f>
        <v>2.875</v>
      </c>
      <c r="H3" s="120">
        <f>3.3/100*25</f>
        <v>0.82500000000000007</v>
      </c>
      <c r="I3" s="120">
        <f>65.5/100*25</f>
        <v>16.375</v>
      </c>
      <c r="J3" s="89">
        <f>348/100*25</f>
        <v>87</v>
      </c>
      <c r="K3" s="8"/>
      <c r="L3" s="120">
        <v>0</v>
      </c>
      <c r="M3" s="120"/>
    </row>
    <row r="4" spans="1:14" ht="15.75" thickBot="1">
      <c r="A4" s="280" t="s">
        <v>47</v>
      </c>
      <c r="B4" s="281"/>
      <c r="C4" s="281"/>
      <c r="D4" s="120">
        <v>5</v>
      </c>
      <c r="E4" s="120">
        <v>5</v>
      </c>
      <c r="F4" s="120"/>
      <c r="G4" s="120">
        <v>0</v>
      </c>
      <c r="H4" s="120">
        <v>0</v>
      </c>
      <c r="I4" s="120">
        <f>100/100*5</f>
        <v>5</v>
      </c>
      <c r="J4" s="89">
        <f>400/100*5</f>
        <v>20</v>
      </c>
      <c r="K4" s="8"/>
      <c r="L4" s="120">
        <v>0</v>
      </c>
      <c r="M4" s="120"/>
      <c r="N4">
        <v>1</v>
      </c>
    </row>
    <row r="5" spans="1:14" ht="15.75" thickBot="1">
      <c r="A5" s="280" t="s">
        <v>46</v>
      </c>
      <c r="B5" s="281"/>
      <c r="C5" s="281"/>
      <c r="D5" s="120">
        <v>150</v>
      </c>
      <c r="E5" s="120">
        <v>150</v>
      </c>
      <c r="F5" s="120"/>
      <c r="G5" s="120">
        <f>2.8/100*150</f>
        <v>4.1999999999999993</v>
      </c>
      <c r="H5" s="120">
        <f>2.5/100*150</f>
        <v>3.75</v>
      </c>
      <c r="I5" s="120">
        <f>4.7/100*150</f>
        <v>7.05</v>
      </c>
      <c r="J5" s="89">
        <f>55/100*150</f>
        <v>82.5</v>
      </c>
      <c r="K5" s="8"/>
      <c r="L5" s="120">
        <v>1.5</v>
      </c>
      <c r="M5" s="120"/>
    </row>
    <row r="6" spans="1:14" ht="15.75" thickBot="1">
      <c r="A6" s="280" t="s">
        <v>48</v>
      </c>
      <c r="B6" s="281"/>
      <c r="C6" s="281"/>
      <c r="D6" s="120">
        <v>5</v>
      </c>
      <c r="E6" s="120">
        <v>5</v>
      </c>
      <c r="F6" s="120"/>
      <c r="G6" s="120">
        <f>0.4/100*5</f>
        <v>0.02</v>
      </c>
      <c r="H6" s="120">
        <f>78.5/100*5</f>
        <v>3.9250000000000003</v>
      </c>
      <c r="I6" s="120">
        <f>0.5/100*5</f>
        <v>2.5000000000000001E-2</v>
      </c>
      <c r="J6" s="132">
        <f>734/100*5</f>
        <v>36.700000000000003</v>
      </c>
      <c r="K6" s="121"/>
      <c r="L6" s="120">
        <f>0.6/100*5</f>
        <v>0.03</v>
      </c>
      <c r="M6" s="120"/>
    </row>
    <row r="7" spans="1:14" ht="15.75" thickBot="1"/>
    <row r="8" spans="1:14" ht="15.75" thickBot="1">
      <c r="A8" s="278" t="s">
        <v>20</v>
      </c>
      <c r="B8" s="279"/>
      <c r="C8" s="279"/>
      <c r="D8" s="279"/>
      <c r="E8" s="298"/>
      <c r="F8" s="65">
        <v>200</v>
      </c>
      <c r="G8" s="120"/>
      <c r="H8" s="120"/>
      <c r="I8" s="120"/>
      <c r="J8" s="7"/>
      <c r="K8" s="8"/>
      <c r="L8" s="120"/>
      <c r="M8" s="65">
        <v>168</v>
      </c>
    </row>
    <row r="9" spans="1:14" ht="15.75" thickBot="1">
      <c r="A9" s="280" t="s">
        <v>21</v>
      </c>
      <c r="B9" s="281"/>
      <c r="C9" s="281"/>
      <c r="D9" s="120">
        <v>25</v>
      </c>
      <c r="E9" s="120">
        <v>25</v>
      </c>
      <c r="F9" s="65"/>
      <c r="G9" s="120">
        <v>2.5750000000000002</v>
      </c>
      <c r="H9" s="120">
        <f>1/100*25</f>
        <v>0.25</v>
      </c>
      <c r="I9" s="120">
        <f>68/100*25</f>
        <v>17</v>
      </c>
      <c r="J9" s="89">
        <f>328/100*25</f>
        <v>82</v>
      </c>
      <c r="K9" s="8"/>
      <c r="L9" s="120">
        <v>0</v>
      </c>
      <c r="M9" s="120"/>
    </row>
    <row r="10" spans="1:14" ht="15.75" thickBot="1">
      <c r="A10" s="280" t="s">
        <v>22</v>
      </c>
      <c r="B10" s="281"/>
      <c r="C10" s="281"/>
      <c r="D10" s="120">
        <v>120</v>
      </c>
      <c r="E10" s="120">
        <v>120</v>
      </c>
      <c r="F10" s="65"/>
      <c r="G10" s="120">
        <f>2.8/100*120</f>
        <v>3.3599999999999994</v>
      </c>
      <c r="H10" s="120">
        <f>22.5/100*120</f>
        <v>27</v>
      </c>
      <c r="I10" s="120">
        <f>4.7/100*120</f>
        <v>5.64</v>
      </c>
      <c r="J10" s="89">
        <f>55/100*150</f>
        <v>82.5</v>
      </c>
      <c r="K10" s="8"/>
      <c r="L10" s="120">
        <f>1/100*120</f>
        <v>1.2</v>
      </c>
      <c r="M10" s="120"/>
      <c r="N10">
        <v>2</v>
      </c>
    </row>
    <row r="11" spans="1:14" ht="15.75" thickBot="1">
      <c r="A11" s="280" t="s">
        <v>23</v>
      </c>
      <c r="B11" s="281"/>
      <c r="C11" s="281"/>
      <c r="D11" s="120">
        <v>5</v>
      </c>
      <c r="E11" s="120">
        <v>5</v>
      </c>
      <c r="F11" s="65"/>
      <c r="G11" s="120">
        <f>0.4/100*5</f>
        <v>0.02</v>
      </c>
      <c r="H11" s="120">
        <f>78.5/100*5</f>
        <v>3.9250000000000003</v>
      </c>
      <c r="I11" s="120">
        <f>0.5/100*5</f>
        <v>2.5000000000000001E-2</v>
      </c>
      <c r="J11" s="89">
        <f>734/100*5</f>
        <v>36.700000000000003</v>
      </c>
      <c r="K11" s="8"/>
      <c r="L11" s="120">
        <f>0.6/100*5</f>
        <v>0.03</v>
      </c>
      <c r="M11" s="120"/>
    </row>
    <row r="12" spans="1:14" ht="15.75" thickBot="1">
      <c r="A12" s="280" t="s">
        <v>24</v>
      </c>
      <c r="B12" s="281"/>
      <c r="C12" s="281"/>
      <c r="D12" s="120">
        <v>5</v>
      </c>
      <c r="E12" s="120">
        <v>5</v>
      </c>
      <c r="F12" s="65"/>
      <c r="G12" s="120">
        <v>0</v>
      </c>
      <c r="H12" s="120">
        <v>0</v>
      </c>
      <c r="I12" s="120">
        <f>100/100*5</f>
        <v>5</v>
      </c>
      <c r="J12" s="132">
        <f>400/100*5</f>
        <v>20</v>
      </c>
      <c r="K12" s="121"/>
      <c r="L12" s="120">
        <v>0</v>
      </c>
      <c r="M12" s="120"/>
    </row>
    <row r="13" spans="1:14" ht="15.75" thickBot="1"/>
    <row r="14" spans="1:14" ht="15.75" thickBot="1">
      <c r="A14" s="278" t="s">
        <v>132</v>
      </c>
      <c r="B14" s="279"/>
      <c r="C14" s="279"/>
      <c r="D14" s="279"/>
      <c r="E14" s="298"/>
      <c r="F14" s="65">
        <v>200</v>
      </c>
      <c r="G14" s="120"/>
      <c r="H14" s="120"/>
      <c r="I14" s="120"/>
      <c r="J14" s="7"/>
      <c r="K14" s="8"/>
      <c r="L14" s="120"/>
      <c r="M14" s="120"/>
    </row>
    <row r="15" spans="1:14" ht="15.75" thickBot="1">
      <c r="A15" s="280" t="s">
        <v>45</v>
      </c>
      <c r="B15" s="281"/>
      <c r="C15" s="281"/>
      <c r="D15" s="120">
        <v>25</v>
      </c>
      <c r="E15" s="120">
        <v>25</v>
      </c>
      <c r="F15" s="120"/>
      <c r="G15" s="120">
        <f>11.5/100*120</f>
        <v>13.8</v>
      </c>
      <c r="H15" s="120">
        <f>1.3/100*25</f>
        <v>0.32500000000000001</v>
      </c>
      <c r="I15" s="120">
        <f>63.1/100*25</f>
        <v>15.775</v>
      </c>
      <c r="J15" s="89">
        <f>353/100*25</f>
        <v>88.25</v>
      </c>
      <c r="K15" s="8"/>
      <c r="L15" s="120">
        <v>0</v>
      </c>
      <c r="M15" s="120"/>
    </row>
    <row r="16" spans="1:14" ht="15.75" thickBot="1">
      <c r="A16" s="280" t="s">
        <v>46</v>
      </c>
      <c r="B16" s="281"/>
      <c r="C16" s="281"/>
      <c r="D16" s="120">
        <v>120</v>
      </c>
      <c r="E16" s="120">
        <v>120</v>
      </c>
      <c r="F16" s="120"/>
      <c r="G16" s="120">
        <f>2.8/100*120</f>
        <v>3.3599999999999994</v>
      </c>
      <c r="H16" s="120">
        <f>2.5/100*120</f>
        <v>3</v>
      </c>
      <c r="I16" s="120">
        <f>4.7/100*120</f>
        <v>5.64</v>
      </c>
      <c r="J16" s="89">
        <f>55/100*120</f>
        <v>66</v>
      </c>
      <c r="K16" s="8"/>
      <c r="L16" s="120">
        <f>1/100*120</f>
        <v>1.2</v>
      </c>
      <c r="M16" s="120"/>
      <c r="N16">
        <v>3</v>
      </c>
    </row>
    <row r="17" spans="1:14" ht="15.75" thickBot="1">
      <c r="A17" s="280" t="s">
        <v>47</v>
      </c>
      <c r="B17" s="281"/>
      <c r="C17" s="281"/>
      <c r="D17" s="120">
        <v>5</v>
      </c>
      <c r="E17" s="120">
        <v>5</v>
      </c>
      <c r="F17" s="120"/>
      <c r="G17" s="120">
        <v>0</v>
      </c>
      <c r="H17" s="120">
        <v>0</v>
      </c>
      <c r="I17" s="120">
        <f>100/100*5</f>
        <v>5</v>
      </c>
      <c r="J17" s="89">
        <f>400/100*5</f>
        <v>20</v>
      </c>
      <c r="K17" s="8"/>
      <c r="L17" s="120">
        <v>0</v>
      </c>
      <c r="M17" s="120"/>
    </row>
    <row r="18" spans="1:14" ht="15.75" thickBot="1">
      <c r="A18" s="280" t="s">
        <v>48</v>
      </c>
      <c r="B18" s="281"/>
      <c r="C18" s="281"/>
      <c r="D18" s="120">
        <v>5</v>
      </c>
      <c r="E18" s="120">
        <v>5</v>
      </c>
      <c r="F18" s="120"/>
      <c r="G18" s="120">
        <f>0.4/100*5</f>
        <v>0.02</v>
      </c>
      <c r="H18" s="120">
        <f>78.5/100*5</f>
        <v>3.9250000000000003</v>
      </c>
      <c r="I18" s="120">
        <f>0.5/100*5</f>
        <v>2.5000000000000001E-2</v>
      </c>
      <c r="J18" s="132">
        <f>734/100*5</f>
        <v>36.700000000000003</v>
      </c>
      <c r="K18" s="121"/>
      <c r="L18" s="120">
        <f>0.6/100*5</f>
        <v>0.03</v>
      </c>
      <c r="M18" s="120"/>
    </row>
    <row r="19" spans="1:14" ht="15.75" thickBot="1"/>
    <row r="20" spans="1:14" ht="15.75" thickBot="1">
      <c r="A20" s="278" t="s">
        <v>150</v>
      </c>
      <c r="B20" s="279"/>
      <c r="C20" s="279"/>
      <c r="D20" s="279"/>
      <c r="E20" s="298"/>
      <c r="F20" s="65">
        <v>200</v>
      </c>
      <c r="G20" s="120"/>
      <c r="H20" s="120"/>
      <c r="I20" s="120"/>
      <c r="J20" s="7"/>
      <c r="K20" s="8"/>
      <c r="L20" s="120"/>
      <c r="M20" s="120"/>
    </row>
    <row r="21" spans="1:14" ht="15.75" thickBot="1">
      <c r="A21" s="280" t="s">
        <v>87</v>
      </c>
      <c r="B21" s="283"/>
      <c r="C21" s="284"/>
      <c r="D21" s="120">
        <v>10</v>
      </c>
      <c r="E21" s="120">
        <v>10</v>
      </c>
      <c r="F21" s="120"/>
      <c r="G21" s="4">
        <f>12.6/100*10</f>
        <v>1.26</v>
      </c>
      <c r="H21" s="4">
        <f>3.3/100*10</f>
        <v>0.33</v>
      </c>
      <c r="I21" s="4">
        <f>60.7/100*10</f>
        <v>6.07</v>
      </c>
      <c r="J21" s="17">
        <f>335/100*10</f>
        <v>33.5</v>
      </c>
      <c r="K21" s="127"/>
      <c r="L21" s="4">
        <v>0</v>
      </c>
      <c r="M21" s="5"/>
    </row>
    <row r="22" spans="1:14" ht="15.75" thickBot="1">
      <c r="A22" s="280" t="s">
        <v>65</v>
      </c>
      <c r="B22" s="281"/>
      <c r="C22" s="281"/>
      <c r="D22" s="120">
        <v>10</v>
      </c>
      <c r="E22" s="120">
        <v>10</v>
      </c>
      <c r="F22" s="120"/>
      <c r="G22" s="120">
        <f>11.5/100*10</f>
        <v>1.1500000000000001</v>
      </c>
      <c r="H22" s="120">
        <f>3.3/100*10</f>
        <v>0.33</v>
      </c>
      <c r="I22" s="120">
        <f>65.5/100*10</f>
        <v>6.5500000000000007</v>
      </c>
      <c r="J22" s="89">
        <f>348/100*10</f>
        <v>34.799999999999997</v>
      </c>
      <c r="K22" s="8"/>
      <c r="L22" s="120">
        <v>0</v>
      </c>
      <c r="M22" s="120"/>
    </row>
    <row r="23" spans="1:14" ht="15.75" thickBot="1">
      <c r="A23" s="280" t="s">
        <v>64</v>
      </c>
      <c r="B23" s="281"/>
      <c r="C23" s="281"/>
      <c r="D23" s="120">
        <v>10</v>
      </c>
      <c r="E23" s="120">
        <v>10</v>
      </c>
      <c r="F23" s="120"/>
      <c r="G23" s="4">
        <f>7/100*10</f>
        <v>0.70000000000000007</v>
      </c>
      <c r="H23" s="4">
        <f>1/100*10</f>
        <v>0.1</v>
      </c>
      <c r="I23" s="126">
        <f>74/100*10</f>
        <v>7.4</v>
      </c>
      <c r="J23" s="17">
        <f>330/100*10</f>
        <v>33</v>
      </c>
      <c r="K23" s="127"/>
      <c r="L23" s="4">
        <v>0</v>
      </c>
      <c r="M23" s="120"/>
      <c r="N23">
        <v>4</v>
      </c>
    </row>
    <row r="24" spans="1:14" ht="15.75" thickBot="1">
      <c r="A24" s="280" t="s">
        <v>46</v>
      </c>
      <c r="B24" s="281"/>
      <c r="C24" s="281"/>
      <c r="D24" s="120">
        <v>150</v>
      </c>
      <c r="E24" s="120">
        <v>150</v>
      </c>
      <c r="F24" s="120"/>
      <c r="G24" s="120">
        <f>2.8/100*150</f>
        <v>4.1999999999999993</v>
      </c>
      <c r="H24" s="120">
        <f>2.5/100*150</f>
        <v>3.75</v>
      </c>
      <c r="I24" s="120">
        <f>4.7/100*150</f>
        <v>7.05</v>
      </c>
      <c r="J24" s="89">
        <f>55/100*150</f>
        <v>82.5</v>
      </c>
      <c r="K24" s="8"/>
      <c r="L24" s="120">
        <f>1/100*150</f>
        <v>1.5</v>
      </c>
      <c r="M24" s="120"/>
    </row>
    <row r="25" spans="1:14" ht="15.75" thickBot="1">
      <c r="A25" s="280" t="s">
        <v>48</v>
      </c>
      <c r="B25" s="281"/>
      <c r="C25" s="281"/>
      <c r="D25" s="120">
        <v>5</v>
      </c>
      <c r="E25" s="120">
        <v>5</v>
      </c>
      <c r="F25" s="120"/>
      <c r="G25" s="120">
        <v>0</v>
      </c>
      <c r="H25" s="120">
        <v>0</v>
      </c>
      <c r="I25" s="120">
        <f>100/100*5</f>
        <v>5</v>
      </c>
      <c r="J25" s="89">
        <f>400/100*5</f>
        <v>20</v>
      </c>
      <c r="K25" s="8"/>
      <c r="L25" s="120">
        <v>0</v>
      </c>
      <c r="M25" s="120"/>
    </row>
    <row r="26" spans="1:14" ht="15.75" thickBot="1">
      <c r="A26" s="280" t="s">
        <v>47</v>
      </c>
      <c r="B26" s="281"/>
      <c r="C26" s="281"/>
      <c r="D26" s="120">
        <v>5</v>
      </c>
      <c r="E26" s="120">
        <v>5</v>
      </c>
      <c r="F26" s="120"/>
      <c r="G26" s="120">
        <f>0.4/100*5</f>
        <v>0.02</v>
      </c>
      <c r="H26" s="120">
        <f>78.5/100*5</f>
        <v>3.9250000000000003</v>
      </c>
      <c r="I26" s="120">
        <f>0.5/100*5</f>
        <v>2.5000000000000001E-2</v>
      </c>
      <c r="J26" s="132">
        <f>734/100*5</f>
        <v>36.700000000000003</v>
      </c>
      <c r="K26" s="121"/>
      <c r="L26" s="120">
        <f>0.6/100*5</f>
        <v>0.03</v>
      </c>
      <c r="M26" s="120"/>
    </row>
    <row r="27" spans="1:14" ht="15.75" thickBot="1"/>
    <row r="28" spans="1:14" ht="15.75" thickBot="1">
      <c r="A28" s="278" t="s">
        <v>170</v>
      </c>
      <c r="B28" s="279"/>
      <c r="C28" s="279"/>
      <c r="D28" s="279"/>
      <c r="E28" s="298"/>
      <c r="F28" s="65">
        <v>250</v>
      </c>
      <c r="G28" s="120"/>
      <c r="H28" s="120"/>
      <c r="I28" s="120"/>
      <c r="J28" s="7"/>
      <c r="K28" s="8"/>
      <c r="L28" s="120"/>
      <c r="M28" s="120"/>
    </row>
    <row r="29" spans="1:14" ht="15.75" thickBot="1">
      <c r="A29" s="280" t="s">
        <v>46</v>
      </c>
      <c r="B29" s="281"/>
      <c r="C29" s="281"/>
      <c r="D29" s="120">
        <v>150</v>
      </c>
      <c r="E29" s="120">
        <v>150</v>
      </c>
      <c r="F29" s="120"/>
      <c r="G29" s="120">
        <f>2.8/100*150</f>
        <v>4.1999999999999993</v>
      </c>
      <c r="H29" s="120">
        <f>2.5/100*150</f>
        <v>3.75</v>
      </c>
      <c r="I29" s="120">
        <f>4.7/100*150</f>
        <v>7.05</v>
      </c>
      <c r="J29" s="89">
        <f>55/100*150</f>
        <v>82.5</v>
      </c>
      <c r="K29" s="8"/>
      <c r="L29" s="120">
        <f>1/100*150</f>
        <v>1.5</v>
      </c>
      <c r="M29" s="120"/>
    </row>
    <row r="30" spans="1:14" ht="15.75" thickBot="1">
      <c r="A30" s="280" t="s">
        <v>47</v>
      </c>
      <c r="B30" s="281"/>
      <c r="C30" s="281"/>
      <c r="D30" s="120">
        <v>5</v>
      </c>
      <c r="E30" s="120">
        <v>5</v>
      </c>
      <c r="F30" s="120"/>
      <c r="G30" s="120">
        <v>0</v>
      </c>
      <c r="H30" s="120">
        <v>0</v>
      </c>
      <c r="I30" s="120">
        <f>100/100*5</f>
        <v>5</v>
      </c>
      <c r="J30" s="89">
        <f>400/100*5</f>
        <v>20</v>
      </c>
      <c r="K30" s="8"/>
      <c r="L30" s="120">
        <v>0</v>
      </c>
      <c r="M30" s="120"/>
    </row>
    <row r="31" spans="1:14" ht="15.75" thickBot="1">
      <c r="A31" s="280" t="s">
        <v>48</v>
      </c>
      <c r="B31" s="281"/>
      <c r="C31" s="281"/>
      <c r="D31" s="120">
        <v>5</v>
      </c>
      <c r="E31" s="120">
        <v>5</v>
      </c>
      <c r="F31" s="120"/>
      <c r="G31" s="120">
        <f>0.4/100*5</f>
        <v>0.02</v>
      </c>
      <c r="H31" s="120">
        <f>78.5/100*5</f>
        <v>3.9250000000000003</v>
      </c>
      <c r="I31" s="120">
        <f>0.5/100*5</f>
        <v>2.5000000000000001E-2</v>
      </c>
      <c r="J31" s="89">
        <f>734/100*5</f>
        <v>36.700000000000003</v>
      </c>
      <c r="K31" s="8"/>
      <c r="L31" s="120">
        <f>0.6/100*5</f>
        <v>0.03</v>
      </c>
      <c r="M31" s="120"/>
      <c r="N31">
        <v>5</v>
      </c>
    </row>
    <row r="32" spans="1:14" ht="15.75" thickBot="1">
      <c r="A32" s="280" t="s">
        <v>75</v>
      </c>
      <c r="B32" s="281"/>
      <c r="C32" s="281"/>
      <c r="D32" s="120">
        <v>16</v>
      </c>
      <c r="E32" s="120">
        <v>16</v>
      </c>
      <c r="F32" s="120"/>
      <c r="G32" s="120">
        <f>10/100*16</f>
        <v>1.6</v>
      </c>
      <c r="H32" s="120">
        <f>1/100*16</f>
        <v>0.16</v>
      </c>
      <c r="I32" s="120">
        <f>71/100*16</f>
        <v>11.36</v>
      </c>
      <c r="J32" s="132">
        <f>340/100*16</f>
        <v>54.4</v>
      </c>
      <c r="K32" s="121"/>
      <c r="L32" s="120">
        <v>0</v>
      </c>
      <c r="M32" s="120"/>
    </row>
    <row r="33" spans="1:14" ht="15.75" thickBot="1"/>
    <row r="34" spans="1:14" ht="15.75" thickBot="1">
      <c r="A34" s="278" t="s">
        <v>171</v>
      </c>
      <c r="B34" s="279"/>
      <c r="C34" s="279"/>
      <c r="D34" s="279"/>
      <c r="E34" s="298"/>
      <c r="F34" s="65">
        <v>200</v>
      </c>
      <c r="G34" s="120"/>
      <c r="H34" s="120"/>
      <c r="I34" s="120"/>
      <c r="J34" s="7"/>
      <c r="K34" s="8"/>
      <c r="L34" s="120"/>
      <c r="M34" s="120"/>
    </row>
    <row r="35" spans="1:14" ht="15.75" thickBot="1">
      <c r="A35" s="280" t="s">
        <v>65</v>
      </c>
      <c r="B35" s="281"/>
      <c r="C35" s="281"/>
      <c r="D35" s="120">
        <v>15</v>
      </c>
      <c r="E35" s="120">
        <v>15</v>
      </c>
      <c r="F35" s="120"/>
      <c r="G35" s="120">
        <f>11.5/100*15</f>
        <v>1.7250000000000001</v>
      </c>
      <c r="H35" s="120">
        <f>3.3/100*15</f>
        <v>0.495</v>
      </c>
      <c r="I35" s="120">
        <f>65.5/100*15</f>
        <v>9.8250000000000011</v>
      </c>
      <c r="J35" s="89">
        <f>348/100*15</f>
        <v>52.2</v>
      </c>
      <c r="K35" s="8"/>
      <c r="L35" s="120">
        <v>0</v>
      </c>
      <c r="M35" s="120"/>
    </row>
    <row r="36" spans="1:14" ht="15.75" thickBot="1">
      <c r="A36" s="280" t="s">
        <v>64</v>
      </c>
      <c r="B36" s="281"/>
      <c r="C36" s="281"/>
      <c r="D36" s="120">
        <v>15</v>
      </c>
      <c r="E36" s="120">
        <v>15</v>
      </c>
      <c r="F36" s="120"/>
      <c r="G36" s="3">
        <f>7/100*15</f>
        <v>1.05</v>
      </c>
      <c r="H36" s="3">
        <f>1/100*15</f>
        <v>0.15</v>
      </c>
      <c r="I36" s="17">
        <f>74/100*15</f>
        <v>11.1</v>
      </c>
      <c r="J36" s="17">
        <f>330/100*15</f>
        <v>49.5</v>
      </c>
      <c r="K36" s="18"/>
      <c r="L36" s="3">
        <v>0</v>
      </c>
      <c r="M36" s="120"/>
    </row>
    <row r="37" spans="1:14" ht="15.75" thickBot="1">
      <c r="A37" s="280" t="s">
        <v>46</v>
      </c>
      <c r="B37" s="281"/>
      <c r="C37" s="281"/>
      <c r="D37" s="120">
        <v>150</v>
      </c>
      <c r="E37" s="120">
        <v>150</v>
      </c>
      <c r="F37" s="120"/>
      <c r="G37" s="120">
        <f>2.8/100*150</f>
        <v>4.1999999999999993</v>
      </c>
      <c r="H37" s="120">
        <f>2.5/100*150</f>
        <v>3.75</v>
      </c>
      <c r="I37" s="120">
        <f>4.7/100*150</f>
        <v>7.05</v>
      </c>
      <c r="J37" s="89">
        <f>55/100*150</f>
        <v>82.5</v>
      </c>
      <c r="K37" s="8"/>
      <c r="L37" s="120">
        <f>1/100*150</f>
        <v>1.5</v>
      </c>
      <c r="M37" s="120"/>
      <c r="N37">
        <v>6</v>
      </c>
    </row>
    <row r="38" spans="1:14" ht="15.75" thickBot="1">
      <c r="A38" s="280" t="s">
        <v>47</v>
      </c>
      <c r="B38" s="281"/>
      <c r="C38" s="281"/>
      <c r="D38" s="120">
        <v>5</v>
      </c>
      <c r="E38" s="120">
        <v>5</v>
      </c>
      <c r="F38" s="120"/>
      <c r="G38" s="120">
        <v>0</v>
      </c>
      <c r="H38" s="120">
        <v>0</v>
      </c>
      <c r="I38" s="120">
        <f>100/100*5</f>
        <v>5</v>
      </c>
      <c r="J38" s="89">
        <f>400/100*5</f>
        <v>20</v>
      </c>
      <c r="K38" s="8"/>
      <c r="L38" s="120">
        <v>0</v>
      </c>
      <c r="M38" s="120"/>
    </row>
    <row r="39" spans="1:14" ht="15.75" thickBot="1">
      <c r="A39" s="280" t="s">
        <v>48</v>
      </c>
      <c r="B39" s="281"/>
      <c r="C39" s="281"/>
      <c r="D39" s="120">
        <v>5</v>
      </c>
      <c r="E39" s="120">
        <v>5</v>
      </c>
      <c r="F39" s="120"/>
      <c r="G39" s="120">
        <f>0.4/100*5</f>
        <v>0.02</v>
      </c>
      <c r="H39" s="120">
        <f>78.5/100*5</f>
        <v>3.9250000000000003</v>
      </c>
      <c r="I39" s="120">
        <f>0.5/100*5</f>
        <v>2.5000000000000001E-2</v>
      </c>
      <c r="J39" s="132">
        <f>734/100*5</f>
        <v>36.700000000000003</v>
      </c>
      <c r="K39" s="121"/>
      <c r="L39" s="120">
        <f>0.6/100*5</f>
        <v>0.03</v>
      </c>
      <c r="M39" s="120"/>
    </row>
    <row r="40" spans="1:14" ht="15.75" thickBot="1"/>
    <row r="41" spans="1:14" ht="15.75" thickBot="1">
      <c r="A41" s="278" t="s">
        <v>172</v>
      </c>
      <c r="B41" s="279"/>
      <c r="C41" s="279"/>
      <c r="D41" s="279"/>
      <c r="E41" s="298"/>
      <c r="F41" s="65">
        <v>200</v>
      </c>
      <c r="G41" s="120"/>
      <c r="H41" s="120"/>
      <c r="I41" s="120"/>
      <c r="J41" s="7"/>
      <c r="K41" s="8"/>
      <c r="L41" s="120"/>
      <c r="M41" s="120"/>
    </row>
    <row r="42" spans="1:14" ht="15.75" thickBot="1">
      <c r="A42" s="280" t="s">
        <v>64</v>
      </c>
      <c r="B42" s="283"/>
      <c r="C42" s="284"/>
      <c r="D42" s="120">
        <v>30</v>
      </c>
      <c r="E42" s="120">
        <v>30</v>
      </c>
      <c r="F42" s="120"/>
      <c r="G42" s="4">
        <f>7/100*30</f>
        <v>2.1</v>
      </c>
      <c r="H42" s="4">
        <f>1/100*30</f>
        <v>0.3</v>
      </c>
      <c r="I42" s="126">
        <f>74/100*30</f>
        <v>22.2</v>
      </c>
      <c r="J42" s="17">
        <f>330/100*30</f>
        <v>99</v>
      </c>
      <c r="K42" s="18"/>
      <c r="L42" s="4">
        <v>0</v>
      </c>
      <c r="M42" s="5"/>
    </row>
    <row r="43" spans="1:14" ht="15.75" thickBot="1">
      <c r="A43" s="280" t="s">
        <v>46</v>
      </c>
      <c r="B43" s="281"/>
      <c r="C43" s="281"/>
      <c r="D43" s="120">
        <v>150</v>
      </c>
      <c r="E43" s="120">
        <v>150</v>
      </c>
      <c r="F43" s="120"/>
      <c r="G43" s="120">
        <f>2.8/100*150</f>
        <v>4.1999999999999993</v>
      </c>
      <c r="H43" s="120">
        <f>2.5/100*150</f>
        <v>3.75</v>
      </c>
      <c r="I43" s="120">
        <f>4.7/100*150</f>
        <v>7.05</v>
      </c>
      <c r="J43" s="89">
        <f>55/100*150</f>
        <v>82.5</v>
      </c>
      <c r="K43" s="8"/>
      <c r="L43" s="120">
        <f>1/100*150</f>
        <v>1.5</v>
      </c>
      <c r="M43" s="120"/>
      <c r="N43">
        <v>7</v>
      </c>
    </row>
    <row r="44" spans="1:14" ht="15.75" thickBot="1">
      <c r="A44" s="280" t="s">
        <v>48</v>
      </c>
      <c r="B44" s="281"/>
      <c r="C44" s="281"/>
      <c r="D44" s="120">
        <v>5</v>
      </c>
      <c r="E44" s="120">
        <v>5</v>
      </c>
      <c r="F44" s="120"/>
      <c r="G44" s="120">
        <v>0</v>
      </c>
      <c r="H44" s="120">
        <v>0</v>
      </c>
      <c r="I44" s="120">
        <f>100/100*5</f>
        <v>5</v>
      </c>
      <c r="J44" s="89">
        <f>400/100*5</f>
        <v>20</v>
      </c>
      <c r="K44" s="8"/>
      <c r="L44" s="120">
        <v>0</v>
      </c>
      <c r="M44" s="120"/>
    </row>
    <row r="45" spans="1:14" ht="15.75" thickBot="1">
      <c r="A45" s="280" t="s">
        <v>47</v>
      </c>
      <c r="B45" s="281"/>
      <c r="C45" s="281"/>
      <c r="D45" s="120">
        <v>5</v>
      </c>
      <c r="E45" s="120">
        <v>5</v>
      </c>
      <c r="F45" s="120"/>
      <c r="G45" s="120">
        <v>0</v>
      </c>
      <c r="H45" s="120">
        <v>0</v>
      </c>
      <c r="I45" s="120">
        <f>100/100*2</f>
        <v>2</v>
      </c>
      <c r="J45" s="132">
        <f>400/100*2</f>
        <v>8</v>
      </c>
      <c r="K45" s="121"/>
      <c r="L45" s="120">
        <f>0.6/100*2</f>
        <v>1.2E-2</v>
      </c>
      <c r="M45" s="120"/>
    </row>
    <row r="46" spans="1:14" ht="15.75" thickBot="1"/>
    <row r="47" spans="1:14" ht="15.75" thickBot="1">
      <c r="A47" s="278" t="s">
        <v>173</v>
      </c>
      <c r="B47" s="279"/>
      <c r="C47" s="279"/>
      <c r="D47" s="279"/>
      <c r="E47" s="298"/>
      <c r="F47" s="65">
        <v>200</v>
      </c>
      <c r="G47" s="120"/>
      <c r="H47" s="120"/>
      <c r="I47" s="120"/>
      <c r="J47" s="7"/>
      <c r="K47" s="8"/>
      <c r="L47" s="120"/>
      <c r="M47" s="120"/>
    </row>
    <row r="48" spans="1:14" ht="15.75" thickBot="1">
      <c r="A48" s="280" t="s">
        <v>84</v>
      </c>
      <c r="B48" s="281"/>
      <c r="C48" s="282"/>
      <c r="D48" s="120">
        <v>30</v>
      </c>
      <c r="E48" s="120">
        <v>30</v>
      </c>
      <c r="F48" s="120"/>
      <c r="G48" s="120">
        <f>8.8/100*30</f>
        <v>2.64</v>
      </c>
      <c r="H48" s="120">
        <f>1.7/100*30</f>
        <v>0.51</v>
      </c>
      <c r="I48" s="120">
        <f>75/100*30</f>
        <v>22.5</v>
      </c>
      <c r="J48" s="89">
        <f>326/100*30</f>
        <v>97.8</v>
      </c>
      <c r="K48" s="8"/>
      <c r="L48" s="120">
        <v>0</v>
      </c>
      <c r="M48" s="120"/>
    </row>
    <row r="49" spans="1:14" ht="15.75" thickBot="1">
      <c r="A49" s="280" t="s">
        <v>46</v>
      </c>
      <c r="B49" s="281"/>
      <c r="C49" s="281"/>
      <c r="D49" s="120">
        <v>150</v>
      </c>
      <c r="E49" s="120">
        <v>150</v>
      </c>
      <c r="F49" s="120"/>
      <c r="G49" s="120">
        <f>2.8/100*150</f>
        <v>4.1999999999999993</v>
      </c>
      <c r="H49" s="120">
        <f>2.5/100*150</f>
        <v>3.75</v>
      </c>
      <c r="I49" s="120">
        <f>4.7/100*150</f>
        <v>7.05</v>
      </c>
      <c r="J49" s="89">
        <f>55/100*150</f>
        <v>82.5</v>
      </c>
      <c r="K49" s="8"/>
      <c r="L49" s="120">
        <f>1/100*150</f>
        <v>1.5</v>
      </c>
      <c r="M49" s="120"/>
      <c r="N49">
        <v>8</v>
      </c>
    </row>
    <row r="50" spans="1:14" ht="15.75" thickBot="1">
      <c r="A50" s="280" t="s">
        <v>48</v>
      </c>
      <c r="B50" s="281"/>
      <c r="C50" s="281"/>
      <c r="D50" s="120">
        <v>5</v>
      </c>
      <c r="E50" s="120">
        <v>5</v>
      </c>
      <c r="F50" s="120"/>
      <c r="G50" s="120">
        <v>0</v>
      </c>
      <c r="H50" s="120">
        <v>0</v>
      </c>
      <c r="I50" s="120">
        <f>100/100*5</f>
        <v>5</v>
      </c>
      <c r="J50" s="89">
        <f>400/100*5</f>
        <v>20</v>
      </c>
      <c r="K50" s="8"/>
      <c r="L50" s="120">
        <v>0</v>
      </c>
      <c r="M50" s="120"/>
    </row>
    <row r="51" spans="1:14" ht="15.75" thickBot="1">
      <c r="A51" s="280" t="s">
        <v>47</v>
      </c>
      <c r="B51" s="281"/>
      <c r="C51" s="281"/>
      <c r="D51" s="120">
        <v>5</v>
      </c>
      <c r="E51" s="120">
        <v>5</v>
      </c>
      <c r="F51" s="120"/>
      <c r="G51" s="120">
        <f>0.4/100*5</f>
        <v>0.02</v>
      </c>
      <c r="H51" s="120">
        <f>78.5/100*5</f>
        <v>3.9250000000000003</v>
      </c>
      <c r="I51" s="120">
        <f>0.5/100*5</f>
        <v>2.5000000000000001E-2</v>
      </c>
      <c r="J51" s="132">
        <f>734/100*5</f>
        <v>36.700000000000003</v>
      </c>
      <c r="K51" s="121"/>
      <c r="L51" s="120">
        <f>0.6/100*5</f>
        <v>0.03</v>
      </c>
      <c r="M51" s="120"/>
    </row>
    <row r="52" spans="1:14" ht="15.75" thickBot="1"/>
    <row r="53" spans="1:14" ht="15.75" thickBot="1">
      <c r="A53" s="278" t="s">
        <v>174</v>
      </c>
      <c r="B53" s="279"/>
      <c r="C53" s="279"/>
      <c r="D53" s="279"/>
      <c r="E53" s="298"/>
      <c r="F53" s="65">
        <v>200</v>
      </c>
      <c r="G53" s="120"/>
      <c r="H53" s="120"/>
      <c r="I53" s="120"/>
      <c r="J53" s="7"/>
      <c r="K53" s="8"/>
      <c r="L53" s="120"/>
      <c r="M53" s="120"/>
    </row>
    <row r="54" spans="1:14" ht="15.75" thickBot="1">
      <c r="A54" s="280" t="s">
        <v>92</v>
      </c>
      <c r="B54" s="283"/>
      <c r="C54" s="284"/>
      <c r="D54" s="120">
        <v>30</v>
      </c>
      <c r="E54" s="120">
        <v>30</v>
      </c>
      <c r="F54" s="120"/>
      <c r="G54" s="4">
        <f>13/100*30</f>
        <v>3.9000000000000004</v>
      </c>
      <c r="H54" s="4">
        <f>6/100*30</f>
        <v>1.7999999999999998</v>
      </c>
      <c r="I54" s="126">
        <f>66/100*30</f>
        <v>19.8</v>
      </c>
      <c r="J54" s="17">
        <f>370/100*30</f>
        <v>111</v>
      </c>
      <c r="K54" s="127"/>
      <c r="L54" s="4">
        <v>0</v>
      </c>
      <c r="M54" s="5"/>
    </row>
    <row r="55" spans="1:14" ht="15.75" thickBot="1">
      <c r="A55" s="280" t="s">
        <v>46</v>
      </c>
      <c r="B55" s="281"/>
      <c r="C55" s="281"/>
      <c r="D55" s="120">
        <v>150</v>
      </c>
      <c r="E55" s="120">
        <v>150</v>
      </c>
      <c r="F55" s="120"/>
      <c r="G55" s="120">
        <f>2.8/100*150</f>
        <v>4.1999999999999993</v>
      </c>
      <c r="H55" s="120">
        <f>2.5/100*150</f>
        <v>3.75</v>
      </c>
      <c r="I55" s="120">
        <f>4.7/100*150</f>
        <v>7.05</v>
      </c>
      <c r="J55" s="89">
        <f>55/100*150</f>
        <v>82.5</v>
      </c>
      <c r="K55" s="8"/>
      <c r="L55" s="120">
        <f>1/100*150</f>
        <v>1.5</v>
      </c>
      <c r="M55" s="120"/>
      <c r="N55">
        <v>9</v>
      </c>
    </row>
    <row r="56" spans="1:14" ht="15.75" thickBot="1">
      <c r="A56" s="280" t="s">
        <v>48</v>
      </c>
      <c r="B56" s="281"/>
      <c r="C56" s="281"/>
      <c r="D56" s="120">
        <v>5</v>
      </c>
      <c r="E56" s="120">
        <v>5</v>
      </c>
      <c r="F56" s="120"/>
      <c r="G56" s="120">
        <v>0</v>
      </c>
      <c r="H56" s="120">
        <v>0</v>
      </c>
      <c r="I56" s="120">
        <f>100/100*5</f>
        <v>5</v>
      </c>
      <c r="J56" s="89">
        <f>400/100*5</f>
        <v>20</v>
      </c>
      <c r="K56" s="8"/>
      <c r="L56" s="120">
        <v>0</v>
      </c>
      <c r="M56" s="120"/>
    </row>
    <row r="57" spans="1:14" ht="15.75" thickBot="1">
      <c r="A57" s="280" t="s">
        <v>47</v>
      </c>
      <c r="B57" s="281"/>
      <c r="C57" s="281"/>
      <c r="D57" s="120">
        <v>5</v>
      </c>
      <c r="E57" s="120">
        <v>5</v>
      </c>
      <c r="F57" s="120"/>
      <c r="G57" s="120">
        <f>0.4/100*5</f>
        <v>0.02</v>
      </c>
      <c r="H57" s="120">
        <f>78.5/100*5</f>
        <v>3.9250000000000003</v>
      </c>
      <c r="I57" s="120">
        <f>0.5/100*5</f>
        <v>2.5000000000000001E-2</v>
      </c>
      <c r="J57" s="132">
        <f>734/100*5</f>
        <v>36.700000000000003</v>
      </c>
      <c r="K57" s="121"/>
      <c r="L57" s="120">
        <f>0.6/100*5</f>
        <v>0.03</v>
      </c>
      <c r="M57" s="120"/>
    </row>
    <row r="58" spans="1:14" ht="15.75" thickBot="1"/>
    <row r="59" spans="1:14" ht="15.75" thickBot="1">
      <c r="A59" s="278" t="s">
        <v>175</v>
      </c>
      <c r="B59" s="279"/>
      <c r="C59" s="279"/>
      <c r="D59" s="279"/>
      <c r="E59" s="298"/>
      <c r="F59" s="65">
        <v>200</v>
      </c>
      <c r="G59" s="120"/>
      <c r="H59" s="120"/>
      <c r="I59" s="120"/>
      <c r="J59" s="7"/>
      <c r="K59" s="8"/>
      <c r="L59" s="120"/>
      <c r="M59" s="120"/>
    </row>
    <row r="60" spans="1:14" ht="15.75" thickBot="1">
      <c r="A60" s="280" t="s">
        <v>65</v>
      </c>
      <c r="B60" s="281"/>
      <c r="C60" s="281"/>
      <c r="D60" s="120">
        <v>20</v>
      </c>
      <c r="E60" s="120">
        <v>20</v>
      </c>
      <c r="F60" s="120"/>
      <c r="G60" s="120">
        <f>11.5/100*20</f>
        <v>2.3000000000000003</v>
      </c>
      <c r="H60" s="120">
        <f>3.3/100*20</f>
        <v>0.66</v>
      </c>
      <c r="I60" s="120">
        <f>65.5/100*20</f>
        <v>13.100000000000001</v>
      </c>
      <c r="J60" s="89">
        <f>348/100*20</f>
        <v>69.599999999999994</v>
      </c>
      <c r="K60" s="8"/>
      <c r="L60" s="120">
        <v>0</v>
      </c>
      <c r="M60" s="120"/>
    </row>
    <row r="61" spans="1:14" ht="15.75" thickBot="1">
      <c r="A61" s="280" t="s">
        <v>47</v>
      </c>
      <c r="B61" s="281"/>
      <c r="C61" s="281"/>
      <c r="D61" s="120">
        <v>5</v>
      </c>
      <c r="E61" s="120">
        <v>5</v>
      </c>
      <c r="F61" s="120"/>
      <c r="G61" s="120">
        <v>0</v>
      </c>
      <c r="H61" s="120">
        <v>0</v>
      </c>
      <c r="I61" s="120">
        <f>100/100*5</f>
        <v>5</v>
      </c>
      <c r="J61" s="89">
        <f>400/100*5</f>
        <v>20</v>
      </c>
      <c r="K61" s="8"/>
      <c r="L61" s="120">
        <v>0</v>
      </c>
      <c r="M61" s="120"/>
      <c r="N61">
        <v>10</v>
      </c>
    </row>
    <row r="62" spans="1:14" ht="15.75" thickBot="1">
      <c r="A62" s="280" t="s">
        <v>46</v>
      </c>
      <c r="B62" s="281"/>
      <c r="C62" s="281"/>
      <c r="D62" s="120">
        <v>150</v>
      </c>
      <c r="E62" s="120">
        <v>150</v>
      </c>
      <c r="F62" s="120"/>
      <c r="G62" s="120">
        <f>2.8/100*150</f>
        <v>4.1999999999999993</v>
      </c>
      <c r="H62" s="120">
        <f>2.5/100*150</f>
        <v>3.75</v>
      </c>
      <c r="I62" s="120">
        <f>4.7/100*150</f>
        <v>7.05</v>
      </c>
      <c r="J62" s="89">
        <f>55/100*150</f>
        <v>82.5</v>
      </c>
      <c r="K62" s="8"/>
      <c r="L62" s="120">
        <v>1.5</v>
      </c>
      <c r="M62" s="120"/>
    </row>
    <row r="63" spans="1:14" ht="15.75" thickBot="1">
      <c r="A63" s="280" t="s">
        <v>48</v>
      </c>
      <c r="B63" s="281"/>
      <c r="C63" s="281"/>
      <c r="D63" s="120">
        <v>5</v>
      </c>
      <c r="E63" s="120">
        <v>5</v>
      </c>
      <c r="F63" s="120"/>
      <c r="G63" s="120">
        <f>0.4/100*5</f>
        <v>0.02</v>
      </c>
      <c r="H63" s="120">
        <f>78.5/100*5</f>
        <v>3.9250000000000003</v>
      </c>
      <c r="I63" s="120">
        <f>0.5/100*5</f>
        <v>2.5000000000000001E-2</v>
      </c>
      <c r="J63" s="132">
        <f>734/100*5</f>
        <v>36.700000000000003</v>
      </c>
      <c r="K63" s="121"/>
      <c r="L63" s="120">
        <f>0.6/100*5</f>
        <v>0.03</v>
      </c>
      <c r="M63" s="120"/>
    </row>
    <row r="64" spans="1:14" ht="15.75" thickBot="1"/>
    <row r="65" spans="1:14" ht="15.75" thickBot="1">
      <c r="A65" s="278" t="s">
        <v>113</v>
      </c>
      <c r="B65" s="279"/>
      <c r="C65" s="279"/>
      <c r="D65" s="279"/>
      <c r="E65" s="298"/>
      <c r="F65" s="65">
        <v>200</v>
      </c>
      <c r="G65" s="120"/>
      <c r="H65" s="120"/>
      <c r="I65" s="120"/>
      <c r="J65" s="7"/>
      <c r="K65" s="8"/>
      <c r="L65" s="120"/>
      <c r="M65" s="120"/>
    </row>
    <row r="66" spans="1:14" ht="15.75" thickBot="1">
      <c r="A66" s="280" t="s">
        <v>103</v>
      </c>
      <c r="B66" s="283"/>
      <c r="C66" s="284"/>
      <c r="D66" s="120">
        <v>25</v>
      </c>
      <c r="E66" s="120">
        <v>25</v>
      </c>
      <c r="F66" s="120"/>
      <c r="G66" s="4">
        <f>9.3/100*25</f>
        <v>2.3250000000000002</v>
      </c>
      <c r="H66" s="4">
        <f>1.1/100*25</f>
        <v>0.27500000000000002</v>
      </c>
      <c r="I66" s="126">
        <f>63/100*25</f>
        <v>15.75</v>
      </c>
      <c r="J66" s="17">
        <f>320/100*25</f>
        <v>80</v>
      </c>
      <c r="K66" s="127"/>
      <c r="L66" s="4">
        <v>0</v>
      </c>
      <c r="M66" s="5"/>
    </row>
    <row r="67" spans="1:14" ht="15.75" thickBot="1">
      <c r="A67" s="280" t="s">
        <v>46</v>
      </c>
      <c r="B67" s="281"/>
      <c r="C67" s="281"/>
      <c r="D67" s="120">
        <v>150</v>
      </c>
      <c r="E67" s="120">
        <v>150</v>
      </c>
      <c r="F67" s="120"/>
      <c r="G67" s="120">
        <f>2.8/100*150</f>
        <v>4.1999999999999993</v>
      </c>
      <c r="H67" s="120">
        <f>2.5/100*150</f>
        <v>3.75</v>
      </c>
      <c r="I67" s="120">
        <f>4.7/100*150</f>
        <v>7.05</v>
      </c>
      <c r="J67" s="89">
        <f>55/100*150</f>
        <v>82.5</v>
      </c>
      <c r="K67" s="8"/>
      <c r="L67" s="120">
        <f>1/100*150</f>
        <v>1.5</v>
      </c>
      <c r="M67" s="120"/>
      <c r="N67">
        <v>11</v>
      </c>
    </row>
    <row r="68" spans="1:14" ht="15.75" thickBot="1">
      <c r="A68" s="280" t="s">
        <v>48</v>
      </c>
      <c r="B68" s="281"/>
      <c r="C68" s="281"/>
      <c r="D68" s="120">
        <v>5</v>
      </c>
      <c r="E68" s="120">
        <v>5</v>
      </c>
      <c r="F68" s="120"/>
      <c r="G68" s="120">
        <v>0</v>
      </c>
      <c r="H68" s="120">
        <v>0</v>
      </c>
      <c r="I68" s="120">
        <f>100/100*5</f>
        <v>5</v>
      </c>
      <c r="J68" s="89">
        <f>400/100*5</f>
        <v>20</v>
      </c>
      <c r="K68" s="8"/>
      <c r="L68" s="120">
        <v>0</v>
      </c>
      <c r="M68" s="120"/>
    </row>
    <row r="69" spans="1:14" ht="15.75" thickBot="1">
      <c r="A69" s="280" t="s">
        <v>47</v>
      </c>
      <c r="B69" s="281"/>
      <c r="C69" s="281"/>
      <c r="D69" s="120">
        <v>5</v>
      </c>
      <c r="E69" s="120">
        <v>5</v>
      </c>
      <c r="F69" s="120"/>
      <c r="G69" s="120">
        <v>0</v>
      </c>
      <c r="H69" s="120">
        <v>0</v>
      </c>
      <c r="I69" s="120">
        <f>100/100*2</f>
        <v>2</v>
      </c>
      <c r="J69" s="132">
        <f>400/100*2</f>
        <v>8</v>
      </c>
      <c r="K69" s="121"/>
      <c r="L69" s="120">
        <f>0.6/100*2</f>
        <v>1.2E-2</v>
      </c>
      <c r="M69" s="120"/>
    </row>
    <row r="70" spans="1:14" ht="15.75" thickBot="1"/>
    <row r="71" spans="1:14" ht="15.75" thickBot="1">
      <c r="A71" s="278" t="s">
        <v>176</v>
      </c>
      <c r="B71" s="279"/>
      <c r="C71" s="279"/>
      <c r="D71" s="279"/>
      <c r="E71" s="298"/>
      <c r="F71" s="65">
        <v>200</v>
      </c>
      <c r="G71" s="120"/>
      <c r="H71" s="120"/>
      <c r="I71" s="120"/>
      <c r="J71" s="7"/>
      <c r="K71" s="8"/>
      <c r="L71" s="120"/>
      <c r="M71" s="120"/>
    </row>
    <row r="72" spans="1:14" ht="15.75" thickBot="1">
      <c r="A72" s="280" t="s">
        <v>87</v>
      </c>
      <c r="B72" s="283"/>
      <c r="C72" s="284"/>
      <c r="D72" s="120">
        <v>25</v>
      </c>
      <c r="E72" s="120">
        <v>25</v>
      </c>
      <c r="F72" s="120"/>
      <c r="G72" s="4">
        <f>12.6/100*25</f>
        <v>3.15</v>
      </c>
      <c r="H72" s="4">
        <f>3.3/100*25</f>
        <v>0.82500000000000007</v>
      </c>
      <c r="I72" s="4">
        <f>60.7/100*25</f>
        <v>15.174999999999999</v>
      </c>
      <c r="J72" s="17">
        <f>335/100*25</f>
        <v>83.75</v>
      </c>
      <c r="K72" s="127"/>
      <c r="L72" s="4">
        <v>0</v>
      </c>
      <c r="M72" s="5"/>
    </row>
    <row r="73" spans="1:14" ht="15.75" thickBot="1">
      <c r="A73" s="280" t="s">
        <v>46</v>
      </c>
      <c r="B73" s="281"/>
      <c r="C73" s="281"/>
      <c r="D73" s="120">
        <v>150</v>
      </c>
      <c r="E73" s="120">
        <v>150</v>
      </c>
      <c r="F73" s="120"/>
      <c r="G73" s="120">
        <f>2.8/100*150</f>
        <v>4.1999999999999993</v>
      </c>
      <c r="H73" s="120">
        <f>2.5/100*150</f>
        <v>3.75</v>
      </c>
      <c r="I73" s="120">
        <f>4.7/100*150</f>
        <v>7.05</v>
      </c>
      <c r="J73" s="89">
        <f>55/100*150</f>
        <v>82.5</v>
      </c>
      <c r="K73" s="8"/>
      <c r="L73" s="120">
        <f>1/100*150</f>
        <v>1.5</v>
      </c>
      <c r="M73" s="120"/>
      <c r="N73">
        <v>12</v>
      </c>
    </row>
    <row r="74" spans="1:14" ht="15.75" thickBot="1">
      <c r="A74" s="280" t="s">
        <v>48</v>
      </c>
      <c r="B74" s="281"/>
      <c r="C74" s="281"/>
      <c r="D74" s="120">
        <v>5</v>
      </c>
      <c r="E74" s="120">
        <v>5</v>
      </c>
      <c r="F74" s="120"/>
      <c r="G74" s="120">
        <v>0</v>
      </c>
      <c r="H74" s="120">
        <v>0</v>
      </c>
      <c r="I74" s="120">
        <f>100/100*5</f>
        <v>5</v>
      </c>
      <c r="J74" s="89">
        <f>400/100*5</f>
        <v>20</v>
      </c>
      <c r="K74" s="8"/>
      <c r="L74" s="120">
        <v>0</v>
      </c>
      <c r="M74" s="120"/>
    </row>
    <row r="75" spans="1:14" ht="15.75" thickBot="1">
      <c r="A75" s="280" t="s">
        <v>47</v>
      </c>
      <c r="B75" s="281"/>
      <c r="C75" s="281"/>
      <c r="D75" s="120">
        <v>5</v>
      </c>
      <c r="E75" s="120">
        <v>5</v>
      </c>
      <c r="F75" s="120"/>
      <c r="G75" s="120">
        <v>0</v>
      </c>
      <c r="H75" s="120">
        <v>0</v>
      </c>
      <c r="I75" s="120">
        <f>100/100*2</f>
        <v>2</v>
      </c>
      <c r="J75" s="132">
        <f>400/100*2</f>
        <v>8</v>
      </c>
      <c r="K75" s="121"/>
      <c r="L75" s="120">
        <f>0.6/100*2</f>
        <v>1.2E-2</v>
      </c>
      <c r="M75" s="120"/>
    </row>
  </sheetData>
  <mergeCells count="63">
    <mergeCell ref="A15:C15"/>
    <mergeCell ref="A2:E2"/>
    <mergeCell ref="A3:C3"/>
    <mergeCell ref="A4:C4"/>
    <mergeCell ref="A5:C5"/>
    <mergeCell ref="A6:C6"/>
    <mergeCell ref="A8:E8"/>
    <mergeCell ref="A9:C9"/>
    <mergeCell ref="A10:C10"/>
    <mergeCell ref="A11:C11"/>
    <mergeCell ref="A12:C12"/>
    <mergeCell ref="A14:E14"/>
    <mergeCell ref="A29:C29"/>
    <mergeCell ref="A16:C16"/>
    <mergeCell ref="A17:C17"/>
    <mergeCell ref="A18:C18"/>
    <mergeCell ref="A20:E20"/>
    <mergeCell ref="A21:C21"/>
    <mergeCell ref="A22:C22"/>
    <mergeCell ref="A23:C23"/>
    <mergeCell ref="A24:C24"/>
    <mergeCell ref="A25:C25"/>
    <mergeCell ref="A26:C26"/>
    <mergeCell ref="A28:E28"/>
    <mergeCell ref="A43:C43"/>
    <mergeCell ref="A30:C30"/>
    <mergeCell ref="A31:C31"/>
    <mergeCell ref="A32:C32"/>
    <mergeCell ref="A34:E34"/>
    <mergeCell ref="A35:C35"/>
    <mergeCell ref="A36:C36"/>
    <mergeCell ref="A37:C37"/>
    <mergeCell ref="A38:C38"/>
    <mergeCell ref="A39:C39"/>
    <mergeCell ref="A41:E41"/>
    <mergeCell ref="A42:C42"/>
    <mergeCell ref="A51:C51"/>
    <mergeCell ref="A44:C44"/>
    <mergeCell ref="A45:C45"/>
    <mergeCell ref="A47:E47"/>
    <mergeCell ref="A48:C48"/>
    <mergeCell ref="A49:C49"/>
    <mergeCell ref="A50:C50"/>
    <mergeCell ref="A66:C66"/>
    <mergeCell ref="A53:E53"/>
    <mergeCell ref="A54:C54"/>
    <mergeCell ref="A55:C55"/>
    <mergeCell ref="A56:C56"/>
    <mergeCell ref="A57:C57"/>
    <mergeCell ref="A59:E59"/>
    <mergeCell ref="A60:C60"/>
    <mergeCell ref="A61:C61"/>
    <mergeCell ref="A62:C62"/>
    <mergeCell ref="A63:C63"/>
    <mergeCell ref="A65:E65"/>
    <mergeCell ref="A74:C74"/>
    <mergeCell ref="A75:C75"/>
    <mergeCell ref="A67:C67"/>
    <mergeCell ref="A68:C68"/>
    <mergeCell ref="A69:C69"/>
    <mergeCell ref="A71:E71"/>
    <mergeCell ref="A72:C72"/>
    <mergeCell ref="A73:C7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59"/>
  <sheetViews>
    <sheetView workbookViewId="0">
      <selection activeCell="A10" sqref="A10:M12"/>
    </sheetView>
  </sheetViews>
  <sheetFormatPr defaultRowHeight="15"/>
  <sheetData>
    <row r="1" spans="1:14" ht="15.75" thickBot="1"/>
    <row r="2" spans="1:14" ht="15.75" thickBot="1">
      <c r="A2" s="278" t="s">
        <v>177</v>
      </c>
      <c r="B2" s="279"/>
      <c r="C2" s="279"/>
      <c r="D2" s="164"/>
      <c r="E2" s="165"/>
      <c r="F2" s="65">
        <v>180</v>
      </c>
      <c r="G2" s="120"/>
      <c r="H2" s="120"/>
      <c r="I2" s="120"/>
      <c r="J2" s="7"/>
      <c r="K2" s="8"/>
      <c r="L2" s="26"/>
      <c r="M2" s="120"/>
    </row>
    <row r="3" spans="1:14" ht="15.75" thickBot="1">
      <c r="A3" s="277" t="s">
        <v>62</v>
      </c>
      <c r="B3" s="277"/>
      <c r="C3" s="277"/>
      <c r="D3" s="120">
        <v>0.6</v>
      </c>
      <c r="E3" s="120">
        <v>0.6</v>
      </c>
      <c r="F3" s="120"/>
      <c r="G3" s="22">
        <f>20/100*0.6</f>
        <v>0.12</v>
      </c>
      <c r="H3" s="22">
        <v>0</v>
      </c>
      <c r="I3" s="22">
        <f>6.9/100*0.6</f>
        <v>4.1399999999999999E-2</v>
      </c>
      <c r="J3" s="17">
        <f>109/100*0.6</f>
        <v>0.65400000000000003</v>
      </c>
      <c r="K3" s="18"/>
      <c r="L3" s="22">
        <f>10/100*0.6</f>
        <v>0.06</v>
      </c>
      <c r="M3" s="120"/>
      <c r="N3">
        <v>1</v>
      </c>
    </row>
    <row r="4" spans="1:14" ht="15.75" thickBot="1">
      <c r="A4" s="280" t="s">
        <v>66</v>
      </c>
      <c r="B4" s="281"/>
      <c r="C4" s="281"/>
      <c r="D4" s="120">
        <v>1</v>
      </c>
      <c r="E4" s="120">
        <v>1</v>
      </c>
      <c r="F4" s="120"/>
      <c r="G4" s="3">
        <f>4/100*1</f>
        <v>0.04</v>
      </c>
      <c r="H4" s="3">
        <v>0</v>
      </c>
      <c r="I4" s="3">
        <f>60/100*1</f>
        <v>0.6</v>
      </c>
      <c r="J4" s="130">
        <f>253/100*1</f>
        <v>2.5299999999999998</v>
      </c>
      <c r="K4" s="123"/>
      <c r="L4" s="3">
        <f>15/100*1</f>
        <v>0.15</v>
      </c>
      <c r="M4" s="5"/>
    </row>
    <row r="5" spans="1:14" ht="15.75" thickBot="1">
      <c r="A5" s="280" t="s">
        <v>47</v>
      </c>
      <c r="B5" s="281"/>
      <c r="C5" s="282"/>
      <c r="D5" s="120">
        <v>8</v>
      </c>
      <c r="E5" s="120">
        <v>8</v>
      </c>
      <c r="F5" s="120"/>
      <c r="G5" s="3">
        <v>0</v>
      </c>
      <c r="H5" s="3">
        <v>0</v>
      </c>
      <c r="I5" s="3">
        <f>100/100*8</f>
        <v>8</v>
      </c>
      <c r="J5" s="17">
        <f>400/100*8</f>
        <v>32</v>
      </c>
      <c r="K5" s="127"/>
      <c r="L5" s="3">
        <v>0</v>
      </c>
      <c r="M5" s="5"/>
    </row>
    <row r="6" spans="1:14" ht="15.75" thickBot="1"/>
    <row r="7" spans="1:14" ht="15.75" thickBot="1">
      <c r="A7" s="12" t="s">
        <v>22</v>
      </c>
      <c r="B7" s="13"/>
      <c r="C7" s="13"/>
      <c r="D7" s="15">
        <v>150</v>
      </c>
      <c r="E7" s="15">
        <v>150</v>
      </c>
      <c r="F7" s="66">
        <v>150</v>
      </c>
      <c r="G7" s="3">
        <f>2.6/100*150</f>
        <v>3.9000000000000004</v>
      </c>
      <c r="H7" s="3">
        <f>15/100*150</f>
        <v>22.5</v>
      </c>
      <c r="I7" s="3">
        <f>3.6/100*150</f>
        <v>5.4</v>
      </c>
      <c r="J7" s="17">
        <f>160/100*150</f>
        <v>240</v>
      </c>
      <c r="K7" s="18"/>
      <c r="L7" s="3">
        <f>1/100*150</f>
        <v>1.5</v>
      </c>
      <c r="M7" s="66">
        <v>255</v>
      </c>
      <c r="N7">
        <v>2</v>
      </c>
    </row>
    <row r="9" spans="1:14" ht="15.75" thickBot="1"/>
    <row r="10" spans="1:14" ht="15.75" thickBot="1">
      <c r="A10" s="278" t="s">
        <v>44</v>
      </c>
      <c r="B10" s="279"/>
      <c r="C10" s="279"/>
      <c r="D10" s="178"/>
      <c r="E10" s="21"/>
      <c r="F10" s="137">
        <v>180</v>
      </c>
      <c r="G10" s="3"/>
      <c r="H10" s="3"/>
      <c r="I10" s="3"/>
      <c r="J10" s="307"/>
      <c r="K10" s="308"/>
      <c r="L10" s="3"/>
      <c r="M10" s="66">
        <v>263</v>
      </c>
    </row>
    <row r="11" spans="1:14" ht="15.75" thickBot="1">
      <c r="A11" s="277" t="s">
        <v>210</v>
      </c>
      <c r="B11" s="277"/>
      <c r="C11" s="277"/>
      <c r="D11" s="120">
        <v>0.6</v>
      </c>
      <c r="E11" s="120">
        <v>0.6</v>
      </c>
      <c r="F11" s="120"/>
      <c r="G11" s="4">
        <f>20/100*0.6</f>
        <v>0.12</v>
      </c>
      <c r="H11" s="4">
        <v>0</v>
      </c>
      <c r="I11" s="4">
        <f>6.9/100*0.6</f>
        <v>4.1399999999999999E-2</v>
      </c>
      <c r="J11" s="17">
        <f>109/100*0.6</f>
        <v>0.65400000000000003</v>
      </c>
      <c r="K11" s="18"/>
      <c r="L11" s="4">
        <f>10/100*0.6</f>
        <v>0.06</v>
      </c>
      <c r="M11" s="120"/>
      <c r="N11">
        <v>3</v>
      </c>
    </row>
    <row r="12" spans="1:14" ht="15.75" thickBot="1">
      <c r="A12" s="280" t="s">
        <v>24</v>
      </c>
      <c r="B12" s="281"/>
      <c r="C12" s="281"/>
      <c r="D12" s="120">
        <v>8</v>
      </c>
      <c r="E12" s="120">
        <v>8</v>
      </c>
      <c r="F12" s="65"/>
      <c r="G12" s="3">
        <v>0</v>
      </c>
      <c r="H12" s="3">
        <v>0</v>
      </c>
      <c r="I12" s="3">
        <v>8</v>
      </c>
      <c r="J12" s="17">
        <v>32</v>
      </c>
      <c r="K12" s="127"/>
      <c r="L12" s="3">
        <v>0</v>
      </c>
      <c r="M12" s="5"/>
    </row>
    <row r="13" spans="1:14" ht="15.75" thickBot="1"/>
    <row r="14" spans="1:14" ht="15.75" thickBot="1">
      <c r="A14" s="278" t="s">
        <v>25</v>
      </c>
      <c r="B14" s="279"/>
      <c r="C14" s="279"/>
      <c r="D14" s="164"/>
      <c r="E14" s="165"/>
      <c r="F14" s="65">
        <v>180</v>
      </c>
      <c r="G14" s="120"/>
      <c r="H14" s="120"/>
      <c r="I14" s="120"/>
      <c r="J14" s="7"/>
      <c r="K14" s="8"/>
      <c r="L14" s="120"/>
      <c r="M14" s="65">
        <v>393</v>
      </c>
    </row>
    <row r="15" spans="1:14" ht="15.75" thickBot="1">
      <c r="A15" s="280" t="s">
        <v>26</v>
      </c>
      <c r="B15" s="281"/>
      <c r="C15" s="281"/>
      <c r="D15" s="120">
        <v>0.6</v>
      </c>
      <c r="E15" s="120">
        <v>0.6</v>
      </c>
      <c r="F15" s="65"/>
      <c r="G15" s="3">
        <f>20/100*0.6</f>
        <v>0.12</v>
      </c>
      <c r="H15" s="3">
        <v>0</v>
      </c>
      <c r="I15" s="3">
        <f>6.9/100*0.6</f>
        <v>4.1399999999999999E-2</v>
      </c>
      <c r="J15" s="17">
        <f>109/100*0.6</f>
        <v>0.65400000000000003</v>
      </c>
      <c r="K15" s="18"/>
      <c r="L15" s="3">
        <v>0</v>
      </c>
      <c r="M15" s="5"/>
      <c r="N15">
        <v>4</v>
      </c>
    </row>
    <row r="16" spans="1:14" ht="15.75" thickBot="1">
      <c r="A16" s="280" t="s">
        <v>27</v>
      </c>
      <c r="B16" s="281"/>
      <c r="C16" s="281"/>
      <c r="D16" s="120">
        <v>3</v>
      </c>
      <c r="E16" s="120">
        <v>3</v>
      </c>
      <c r="F16" s="65"/>
      <c r="G16" s="3">
        <f>0.3/100*3</f>
        <v>9.0000000000000011E-3</v>
      </c>
      <c r="H16" s="3">
        <v>0</v>
      </c>
      <c r="I16" s="3">
        <f>4.6/100*3</f>
        <v>0.13800000000000001</v>
      </c>
      <c r="J16" s="130">
        <f>20/100*3</f>
        <v>0.60000000000000009</v>
      </c>
      <c r="K16" s="123"/>
      <c r="L16" s="3">
        <f>20/100*3</f>
        <v>0.60000000000000009</v>
      </c>
      <c r="M16" s="5"/>
    </row>
    <row r="17" spans="1:14" ht="15.75" thickBot="1">
      <c r="A17" s="280" t="s">
        <v>24</v>
      </c>
      <c r="B17" s="281"/>
      <c r="C17" s="281"/>
      <c r="D17" s="120">
        <v>8</v>
      </c>
      <c r="E17" s="120">
        <v>8</v>
      </c>
      <c r="F17" s="65"/>
      <c r="G17" s="3">
        <v>0</v>
      </c>
      <c r="H17" s="3">
        <v>0</v>
      </c>
      <c r="I17" s="3">
        <v>8</v>
      </c>
      <c r="J17" s="17">
        <v>32</v>
      </c>
      <c r="K17" s="127"/>
      <c r="L17" s="3">
        <v>0</v>
      </c>
      <c r="M17" s="5"/>
    </row>
    <row r="18" spans="1:14" ht="15.75" thickBot="1"/>
    <row r="19" spans="1:14" ht="15.75" thickBot="1">
      <c r="A19" s="12" t="s">
        <v>124</v>
      </c>
      <c r="B19" s="13"/>
      <c r="C19" s="13"/>
      <c r="D19" s="164"/>
      <c r="E19" s="165"/>
      <c r="F19" s="66">
        <v>180</v>
      </c>
      <c r="G19" s="4"/>
      <c r="H19" s="4"/>
      <c r="I19" s="4"/>
      <c r="J19" s="122"/>
      <c r="K19" s="123"/>
      <c r="L19" s="4"/>
      <c r="M19" s="68"/>
    </row>
    <row r="20" spans="1:14" ht="15.75" thickBot="1">
      <c r="A20" s="314" t="s">
        <v>62</v>
      </c>
      <c r="B20" s="314"/>
      <c r="C20" s="314"/>
      <c r="D20" s="120">
        <v>0.6</v>
      </c>
      <c r="E20" s="120">
        <v>0.6</v>
      </c>
      <c r="F20" s="120"/>
      <c r="G20" s="4">
        <f>20/100*0.6</f>
        <v>0.12</v>
      </c>
      <c r="H20" s="4">
        <v>0</v>
      </c>
      <c r="I20" s="4">
        <f>6.9/100*0.6</f>
        <v>4.1399999999999999E-2</v>
      </c>
      <c r="J20" s="17">
        <f>109/100*0.6</f>
        <v>0.65400000000000003</v>
      </c>
      <c r="K20" s="18"/>
      <c r="L20" s="4">
        <f>10/100*0.6</f>
        <v>0.06</v>
      </c>
      <c r="M20" s="120"/>
      <c r="N20">
        <v>5</v>
      </c>
    </row>
    <row r="21" spans="1:14" ht="15.75" thickBot="1">
      <c r="A21" s="44"/>
      <c r="B21" s="133" t="s">
        <v>46</v>
      </c>
      <c r="C21" s="133"/>
      <c r="D21" s="120">
        <v>50</v>
      </c>
      <c r="E21" s="120">
        <v>50</v>
      </c>
      <c r="F21" s="68"/>
      <c r="G21" s="4">
        <f>2.8/100*50</f>
        <v>1.4</v>
      </c>
      <c r="H21" s="4">
        <f>2.5/100*50</f>
        <v>1.25</v>
      </c>
      <c r="I21" s="4">
        <f>4.7/100*50</f>
        <v>2.35</v>
      </c>
      <c r="J21" s="17">
        <f>55/100*50</f>
        <v>27.500000000000004</v>
      </c>
      <c r="K21" s="127"/>
      <c r="L21" s="4">
        <f>1/100*50</f>
        <v>0.5</v>
      </c>
      <c r="M21" s="68"/>
    </row>
    <row r="22" spans="1:14" ht="15.75" thickBot="1">
      <c r="F22" s="41"/>
    </row>
    <row r="23" spans="1:14" ht="15.75" thickBot="1">
      <c r="A23" s="278" t="s">
        <v>178</v>
      </c>
      <c r="B23" s="279"/>
      <c r="C23" s="279"/>
      <c r="D23" s="164"/>
      <c r="E23" s="165"/>
      <c r="F23" s="65">
        <v>180</v>
      </c>
      <c r="G23" s="120"/>
      <c r="H23" s="120"/>
      <c r="I23" s="120"/>
      <c r="J23" s="7"/>
      <c r="K23" s="8"/>
      <c r="L23" s="120"/>
      <c r="M23" s="120"/>
    </row>
    <row r="24" spans="1:14" ht="15.75" thickBot="1">
      <c r="A24" s="280" t="s">
        <v>49</v>
      </c>
      <c r="B24" s="281"/>
      <c r="C24" s="281"/>
      <c r="D24" s="120">
        <v>0.6</v>
      </c>
      <c r="E24" s="120">
        <v>0.6</v>
      </c>
      <c r="F24" s="120"/>
      <c r="G24" s="4">
        <f>24.5/100*0.6</f>
        <v>0.14699999999999999</v>
      </c>
      <c r="H24" s="4">
        <f>12.5/100*0.6</f>
        <v>7.4999999999999997E-2</v>
      </c>
      <c r="I24" s="4">
        <f>29.5/100*0.6</f>
        <v>0.17699999999999999</v>
      </c>
      <c r="J24" s="17">
        <f>338/100*0.6</f>
        <v>2.028</v>
      </c>
      <c r="K24" s="18"/>
      <c r="L24" s="4">
        <v>0</v>
      </c>
      <c r="M24" s="5"/>
      <c r="N24">
        <v>6</v>
      </c>
    </row>
    <row r="25" spans="1:14" ht="15.75" thickBot="1">
      <c r="A25" s="280" t="s">
        <v>46</v>
      </c>
      <c r="B25" s="281"/>
      <c r="C25" s="281"/>
      <c r="D25" s="120">
        <v>120</v>
      </c>
      <c r="E25" s="120">
        <v>120</v>
      </c>
      <c r="F25" s="120"/>
      <c r="G25" s="4">
        <v>3.36</v>
      </c>
      <c r="H25" s="4">
        <v>3</v>
      </c>
      <c r="I25" s="4">
        <f>4.7/100*120</f>
        <v>5.64</v>
      </c>
      <c r="J25" s="130">
        <f>55/100*120</f>
        <v>66</v>
      </c>
      <c r="K25" s="131"/>
      <c r="L25" s="4">
        <f>1/100*120</f>
        <v>1.2</v>
      </c>
      <c r="M25" s="5"/>
    </row>
    <row r="26" spans="1:14" ht="15.75" thickBot="1">
      <c r="A26" s="280" t="s">
        <v>47</v>
      </c>
      <c r="B26" s="281"/>
      <c r="C26" s="281"/>
      <c r="D26" s="120">
        <v>10</v>
      </c>
      <c r="E26" s="120">
        <v>10</v>
      </c>
      <c r="F26" s="120"/>
      <c r="G26" s="4">
        <v>0</v>
      </c>
      <c r="H26" s="4">
        <v>0</v>
      </c>
      <c r="I26" s="4">
        <f>100/100*10</f>
        <v>10</v>
      </c>
      <c r="J26" s="17">
        <f>400/100*10</f>
        <v>40</v>
      </c>
      <c r="K26" s="18"/>
      <c r="L26" s="4">
        <v>0</v>
      </c>
      <c r="M26" s="5"/>
    </row>
    <row r="27" spans="1:14" ht="15.75" thickBot="1"/>
    <row r="28" spans="1:14" ht="15.75" thickBot="1">
      <c r="A28" s="278" t="s">
        <v>147</v>
      </c>
      <c r="B28" s="279"/>
      <c r="C28" s="279"/>
      <c r="D28" s="178"/>
      <c r="E28" s="21"/>
      <c r="F28" s="137">
        <v>180</v>
      </c>
      <c r="G28" s="3"/>
      <c r="H28" s="3"/>
      <c r="I28" s="3"/>
      <c r="J28" s="311"/>
      <c r="K28" s="312"/>
      <c r="L28" s="3"/>
      <c r="M28" s="5"/>
    </row>
    <row r="29" spans="1:14" ht="15.75" thickBot="1">
      <c r="A29" s="280" t="s">
        <v>56</v>
      </c>
      <c r="B29" s="281"/>
      <c r="C29" s="282"/>
      <c r="D29" s="120">
        <v>20</v>
      </c>
      <c r="E29" s="120">
        <v>20</v>
      </c>
      <c r="F29" s="4"/>
      <c r="G29" s="4">
        <f>1/100*20</f>
        <v>0.2</v>
      </c>
      <c r="H29" s="4">
        <v>0</v>
      </c>
      <c r="I29" s="4">
        <f>95.5/100*20</f>
        <v>19.099999999999998</v>
      </c>
      <c r="J29" s="126">
        <f>382.4/100*20</f>
        <v>76.47999999999999</v>
      </c>
      <c r="K29" s="18"/>
      <c r="L29" s="4">
        <v>0</v>
      </c>
      <c r="M29" s="5"/>
      <c r="N29">
        <v>7</v>
      </c>
    </row>
    <row r="30" spans="1:14" ht="15.75" thickBot="1">
      <c r="A30" s="322" t="s">
        <v>47</v>
      </c>
      <c r="B30" s="283"/>
      <c r="C30" s="284"/>
      <c r="D30" s="120">
        <v>8</v>
      </c>
      <c r="E30" s="120">
        <v>8</v>
      </c>
      <c r="F30" s="68"/>
      <c r="G30" s="4">
        <v>0</v>
      </c>
      <c r="H30" s="4">
        <v>0</v>
      </c>
      <c r="I30" s="4">
        <f>100/100*8</f>
        <v>8</v>
      </c>
      <c r="J30" s="126">
        <f>400/100*8</f>
        <v>32</v>
      </c>
      <c r="K30" s="18"/>
      <c r="L30" s="4">
        <v>0</v>
      </c>
      <c r="M30" s="5"/>
    </row>
    <row r="31" spans="1:14" ht="15.75" thickBot="1"/>
    <row r="32" spans="1:14" ht="15.75" thickBot="1">
      <c r="A32" s="278" t="s">
        <v>179</v>
      </c>
      <c r="B32" s="279"/>
      <c r="C32" s="279"/>
      <c r="D32" s="164"/>
      <c r="E32" s="165"/>
      <c r="F32" s="65">
        <v>180</v>
      </c>
      <c r="G32" s="120"/>
      <c r="H32" s="120"/>
      <c r="I32" s="120"/>
      <c r="J32" s="7"/>
      <c r="K32" s="8"/>
      <c r="L32" s="120"/>
      <c r="M32" s="120"/>
    </row>
    <row r="33" spans="1:14" ht="15.75" thickBot="1">
      <c r="A33" s="280" t="s">
        <v>76</v>
      </c>
      <c r="B33" s="281"/>
      <c r="C33" s="281"/>
      <c r="D33" s="120">
        <v>1.2</v>
      </c>
      <c r="E33" s="120">
        <v>1.2</v>
      </c>
      <c r="F33" s="120"/>
      <c r="G33" s="4">
        <f>9.9/100*1.2</f>
        <v>0.1188</v>
      </c>
      <c r="H33" s="4">
        <f>2.5/100*1.2</f>
        <v>0.03</v>
      </c>
      <c r="I33" s="4">
        <f>57.8/100*1.2</f>
        <v>0.69359999999999988</v>
      </c>
      <c r="J33" s="17">
        <f>294/100*1.2</f>
        <v>3.528</v>
      </c>
      <c r="K33" s="18"/>
      <c r="L33" s="4">
        <v>0</v>
      </c>
      <c r="M33" s="5"/>
      <c r="N33">
        <v>8</v>
      </c>
    </row>
    <row r="34" spans="1:14" ht="15.75" thickBot="1">
      <c r="A34" s="280" t="s">
        <v>46</v>
      </c>
      <c r="B34" s="281"/>
      <c r="C34" s="281"/>
      <c r="D34" s="120">
        <v>150</v>
      </c>
      <c r="E34" s="120">
        <v>150</v>
      </c>
      <c r="F34" s="120"/>
      <c r="G34" s="120">
        <f>2.8/100*150</f>
        <v>4.1999999999999993</v>
      </c>
      <c r="H34" s="120">
        <f>2.5/100*150</f>
        <v>3.75</v>
      </c>
      <c r="I34" s="120">
        <f>4.7/100*150</f>
        <v>7.05</v>
      </c>
      <c r="J34" s="89">
        <f>55/100*150</f>
        <v>82.5</v>
      </c>
      <c r="K34" s="8"/>
      <c r="L34" s="120">
        <f>1/100*150</f>
        <v>1.5</v>
      </c>
      <c r="M34" s="5"/>
    </row>
    <row r="35" spans="1:14" ht="15.75" thickBot="1">
      <c r="A35" s="280" t="s">
        <v>47</v>
      </c>
      <c r="B35" s="281"/>
      <c r="C35" s="281"/>
      <c r="D35" s="120">
        <v>10</v>
      </c>
      <c r="E35" s="120">
        <v>10</v>
      </c>
      <c r="F35" s="120"/>
      <c r="G35" s="4">
        <v>0</v>
      </c>
      <c r="H35" s="4">
        <v>0</v>
      </c>
      <c r="I35" s="4">
        <f>100/100*10</f>
        <v>10</v>
      </c>
      <c r="J35" s="17">
        <f>400/100*10</f>
        <v>40</v>
      </c>
      <c r="K35" s="127"/>
      <c r="L35" s="4">
        <v>0</v>
      </c>
      <c r="M35" s="5"/>
    </row>
    <row r="36" spans="1:14" ht="15.75" thickBot="1"/>
    <row r="37" spans="1:14" ht="15.75" thickBot="1">
      <c r="A37" s="278" t="s">
        <v>180</v>
      </c>
      <c r="B37" s="279"/>
      <c r="C37" s="298"/>
      <c r="D37" s="88">
        <v>100</v>
      </c>
      <c r="E37" s="129">
        <v>100</v>
      </c>
      <c r="F37" s="66">
        <v>100</v>
      </c>
      <c r="G37" s="4">
        <v>0.5</v>
      </c>
      <c r="H37" s="4">
        <v>0</v>
      </c>
      <c r="I37" s="4">
        <v>12.7</v>
      </c>
      <c r="J37" s="17">
        <v>55</v>
      </c>
      <c r="K37" s="127"/>
      <c r="L37" s="4">
        <v>4</v>
      </c>
      <c r="M37" s="5"/>
      <c r="N37">
        <v>9</v>
      </c>
    </row>
    <row r="38" spans="1:14" ht="15.75" thickBot="1"/>
    <row r="39" spans="1:14" ht="15.75" thickBot="1">
      <c r="A39" s="278" t="s">
        <v>181</v>
      </c>
      <c r="B39" s="279"/>
      <c r="C39" s="279"/>
      <c r="D39" s="178"/>
      <c r="E39" s="21"/>
      <c r="F39" s="137">
        <v>180</v>
      </c>
      <c r="G39" s="3"/>
      <c r="H39" s="3"/>
      <c r="I39" s="3"/>
      <c r="J39" s="122"/>
      <c r="K39" s="123"/>
      <c r="L39" s="3"/>
      <c r="M39" s="5"/>
    </row>
    <row r="40" spans="1:14" ht="15.75" thickBot="1">
      <c r="A40" s="280" t="s">
        <v>57</v>
      </c>
      <c r="B40" s="281"/>
      <c r="C40" s="281"/>
      <c r="D40" s="120">
        <v>7</v>
      </c>
      <c r="E40" s="120">
        <v>7</v>
      </c>
      <c r="F40" s="5"/>
      <c r="G40" s="4">
        <f>0.63/100*7</f>
        <v>4.41E-2</v>
      </c>
      <c r="H40" s="4">
        <v>0</v>
      </c>
      <c r="I40" s="4">
        <f>10.06/100*7</f>
        <v>0.70420000000000005</v>
      </c>
      <c r="J40" s="17">
        <f>40.87/100*7</f>
        <v>2.8608999999999996</v>
      </c>
      <c r="K40" s="18"/>
      <c r="L40" s="4">
        <f>0.46/100*7</f>
        <v>3.2199999999999999E-2</v>
      </c>
      <c r="M40" s="5"/>
    </row>
    <row r="41" spans="1:14" ht="15.75" thickBot="1">
      <c r="A41" s="322" t="s">
        <v>47</v>
      </c>
      <c r="B41" s="283"/>
      <c r="C41" s="284"/>
      <c r="D41" s="120">
        <v>10</v>
      </c>
      <c r="E41" s="120">
        <v>10</v>
      </c>
      <c r="F41" s="5"/>
      <c r="G41" s="4">
        <v>0</v>
      </c>
      <c r="H41" s="4">
        <v>0</v>
      </c>
      <c r="I41" s="4">
        <v>10</v>
      </c>
      <c r="J41" s="17">
        <f>400/100*10</f>
        <v>40</v>
      </c>
      <c r="K41" s="18"/>
      <c r="L41" s="4">
        <v>0</v>
      </c>
      <c r="M41" s="5"/>
      <c r="N41">
        <v>10</v>
      </c>
    </row>
    <row r="42" spans="1:14" ht="15.75" thickBot="1">
      <c r="A42" s="277" t="s">
        <v>56</v>
      </c>
      <c r="B42" s="277"/>
      <c r="C42" s="277"/>
      <c r="D42" s="120">
        <v>8</v>
      </c>
      <c r="E42" s="120">
        <v>8</v>
      </c>
      <c r="F42" s="3"/>
      <c r="G42" s="4">
        <f>1/100*8</f>
        <v>0.08</v>
      </c>
      <c r="H42" s="4">
        <v>0</v>
      </c>
      <c r="I42" s="4">
        <f>95.5/100*8</f>
        <v>7.64</v>
      </c>
      <c r="J42" s="17">
        <f>382.4/100*8</f>
        <v>30.591999999999999</v>
      </c>
      <c r="K42" s="18"/>
      <c r="L42" s="4">
        <v>0</v>
      </c>
      <c r="M42" s="5"/>
    </row>
    <row r="43" spans="1:14" ht="15.75" thickBot="1"/>
    <row r="44" spans="1:14" ht="15.75" thickBot="1">
      <c r="A44" s="278" t="s">
        <v>180</v>
      </c>
      <c r="B44" s="279"/>
      <c r="C44" s="298"/>
      <c r="D44" s="120">
        <v>150</v>
      </c>
      <c r="E44" s="120">
        <v>150</v>
      </c>
      <c r="F44" s="137">
        <v>150</v>
      </c>
      <c r="G44" s="4">
        <f>0.4/100*150</f>
        <v>0.6</v>
      </c>
      <c r="H44" s="4">
        <v>0</v>
      </c>
      <c r="I44" s="4">
        <f>11.7/100*150</f>
        <v>17.549999999999997</v>
      </c>
      <c r="J44" s="17">
        <f>50/100*150</f>
        <v>75</v>
      </c>
      <c r="K44" s="18"/>
      <c r="L44" s="4">
        <v>0</v>
      </c>
      <c r="M44" s="5"/>
      <c r="N44">
        <v>11</v>
      </c>
    </row>
    <row r="45" spans="1:14" ht="15.75" thickBot="1"/>
    <row r="46" spans="1:14" ht="15.75" thickBot="1">
      <c r="A46" s="278" t="s">
        <v>40</v>
      </c>
      <c r="B46" s="279"/>
      <c r="C46" s="279"/>
      <c r="D46" s="178"/>
      <c r="E46" s="21"/>
      <c r="F46" s="66">
        <v>180</v>
      </c>
      <c r="G46" s="3"/>
      <c r="H46" s="3"/>
      <c r="I46" s="3"/>
      <c r="J46" s="122"/>
      <c r="K46" s="123"/>
      <c r="L46" s="3"/>
      <c r="M46" s="5"/>
    </row>
    <row r="47" spans="1:14" ht="15.75" thickBot="1">
      <c r="A47" s="280" t="s">
        <v>57</v>
      </c>
      <c r="B47" s="281"/>
      <c r="C47" s="282"/>
      <c r="D47" s="120">
        <v>11</v>
      </c>
      <c r="E47" s="120">
        <v>16.5</v>
      </c>
      <c r="F47" s="3"/>
      <c r="G47" s="4">
        <f>0.63/100*16.5</f>
        <v>0.10395</v>
      </c>
      <c r="H47" s="4">
        <v>0</v>
      </c>
      <c r="I47" s="4">
        <f>10.06/100*16.5</f>
        <v>1.6599000000000002</v>
      </c>
      <c r="J47" s="17">
        <f>40.87/100*16.5</f>
        <v>6.743549999999999</v>
      </c>
      <c r="K47" s="18"/>
      <c r="L47" s="4">
        <f>0.46/100*16.5</f>
        <v>7.5899999999999995E-2</v>
      </c>
      <c r="M47" s="5"/>
      <c r="N47">
        <v>12</v>
      </c>
    </row>
    <row r="48" spans="1:14" ht="15.75" thickBot="1">
      <c r="A48" s="280" t="s">
        <v>47</v>
      </c>
      <c r="B48" s="281"/>
      <c r="C48" s="282"/>
      <c r="D48" s="120">
        <v>10</v>
      </c>
      <c r="E48" s="120">
        <v>10</v>
      </c>
      <c r="F48" s="5"/>
      <c r="G48" s="4">
        <v>0</v>
      </c>
      <c r="H48" s="4">
        <v>0</v>
      </c>
      <c r="I48" s="4">
        <f>100/100*10</f>
        <v>10</v>
      </c>
      <c r="J48" s="17">
        <f>400/100*10</f>
        <v>40</v>
      </c>
      <c r="K48" s="18"/>
      <c r="L48" s="4">
        <v>0</v>
      </c>
      <c r="M48" s="5"/>
    </row>
    <row r="49" spans="1:14" ht="15.75" thickBot="1">
      <c r="F49" s="46"/>
    </row>
    <row r="50" spans="1:14" ht="15.75" thickBot="1">
      <c r="A50" s="117" t="s">
        <v>182</v>
      </c>
      <c r="B50" s="128"/>
      <c r="C50" s="166"/>
      <c r="D50" s="164"/>
      <c r="E50" s="165"/>
      <c r="F50" s="66">
        <v>150</v>
      </c>
      <c r="G50" s="4"/>
      <c r="H50" s="4"/>
      <c r="I50" s="4"/>
      <c r="J50" s="17"/>
      <c r="K50" s="125"/>
      <c r="L50" s="4"/>
      <c r="M50" s="5"/>
    </row>
    <row r="51" spans="1:14" ht="15.75" thickBot="1">
      <c r="A51" s="227"/>
      <c r="B51" s="228" t="s">
        <v>182</v>
      </c>
      <c r="C51" s="167"/>
      <c r="D51" s="168">
        <v>150</v>
      </c>
      <c r="E51" s="168">
        <v>150</v>
      </c>
      <c r="F51" s="66"/>
      <c r="G51" s="4">
        <f>3/100*150</f>
        <v>4.5</v>
      </c>
      <c r="H51" s="4">
        <f>2.5/100*150</f>
        <v>3.75</v>
      </c>
      <c r="I51" s="4">
        <f>4.4/100*150</f>
        <v>6.6000000000000005</v>
      </c>
      <c r="J51" s="179">
        <f>51/100*150</f>
        <v>76.5</v>
      </c>
      <c r="K51" s="162"/>
      <c r="L51" s="4">
        <v>0</v>
      </c>
      <c r="M51" s="5"/>
      <c r="N51">
        <v>13</v>
      </c>
    </row>
    <row r="52" spans="1:14" ht="15.75" thickBot="1">
      <c r="A52" s="118"/>
      <c r="B52" s="164" t="s">
        <v>24</v>
      </c>
      <c r="C52" s="129"/>
      <c r="D52" s="120">
        <v>5</v>
      </c>
      <c r="E52" s="120">
        <v>5</v>
      </c>
      <c r="F52" s="5"/>
      <c r="G52" s="120">
        <f>0.4/100*5</f>
        <v>0.02</v>
      </c>
      <c r="H52" s="120">
        <f>78.5/100*5</f>
        <v>3.9250000000000003</v>
      </c>
      <c r="I52" s="120">
        <f>0.5/100*5</f>
        <v>2.5000000000000001E-2</v>
      </c>
      <c r="J52" s="132">
        <f>734/100*5</f>
        <v>36.700000000000003</v>
      </c>
      <c r="K52" s="121"/>
      <c r="L52" s="120">
        <f>0.6/100*5</f>
        <v>0.03</v>
      </c>
      <c r="M52" s="5"/>
    </row>
    <row r="53" spans="1:14" ht="15.75" thickBot="1"/>
    <row r="54" spans="1:14" ht="15.75" thickBot="1">
      <c r="A54" s="12" t="s">
        <v>183</v>
      </c>
      <c r="B54" s="13"/>
      <c r="C54" s="13"/>
      <c r="D54" s="119"/>
      <c r="E54" s="121"/>
      <c r="F54" s="66">
        <v>180</v>
      </c>
      <c r="G54" s="4"/>
      <c r="H54" s="4"/>
      <c r="I54" s="4"/>
      <c r="J54" s="122"/>
      <c r="K54" s="123"/>
      <c r="L54" s="4"/>
      <c r="M54" s="68"/>
    </row>
    <row r="55" spans="1:14" ht="15.75" thickBot="1">
      <c r="A55" s="314" t="s">
        <v>62</v>
      </c>
      <c r="B55" s="314"/>
      <c r="C55" s="314"/>
      <c r="D55" s="120">
        <v>0.6</v>
      </c>
      <c r="E55" s="120">
        <v>0.6</v>
      </c>
      <c r="F55" s="120"/>
      <c r="G55" s="4">
        <f>20/100*0.6</f>
        <v>0.12</v>
      </c>
      <c r="H55" s="4">
        <v>0</v>
      </c>
      <c r="I55" s="4">
        <f>6.9/100*0.6</f>
        <v>4.1399999999999999E-2</v>
      </c>
      <c r="J55" s="17">
        <f>109/100*0.6</f>
        <v>0.65400000000000003</v>
      </c>
      <c r="K55" s="18"/>
      <c r="L55" s="4">
        <f>10/100*0.6</f>
        <v>0.06</v>
      </c>
      <c r="M55" s="120"/>
      <c r="N55">
        <v>14</v>
      </c>
    </row>
    <row r="56" spans="1:14" ht="15.75" thickBot="1">
      <c r="A56" s="44"/>
      <c r="B56" s="133" t="s">
        <v>46</v>
      </c>
      <c r="C56" s="133"/>
      <c r="D56" s="120">
        <v>50</v>
      </c>
      <c r="E56" s="120">
        <v>50</v>
      </c>
      <c r="F56" s="68"/>
      <c r="G56" s="4">
        <f>2.8/100*50</f>
        <v>1.4</v>
      </c>
      <c r="H56" s="4">
        <f>2.5/100*50</f>
        <v>1.25</v>
      </c>
      <c r="I56" s="4">
        <f>4.7/100*50</f>
        <v>2.35</v>
      </c>
      <c r="J56" s="17">
        <f>55/100*50</f>
        <v>27.500000000000004</v>
      </c>
      <c r="K56" s="127"/>
      <c r="L56" s="4">
        <f>1/100*50</f>
        <v>0.5</v>
      </c>
      <c r="M56" s="68"/>
    </row>
    <row r="57" spans="1:14" ht="15.75" thickBot="1">
      <c r="A57" s="118"/>
      <c r="B57" s="119" t="s">
        <v>47</v>
      </c>
      <c r="C57" s="129"/>
      <c r="D57" s="120">
        <v>5</v>
      </c>
      <c r="E57" s="120">
        <v>5</v>
      </c>
      <c r="F57" s="5"/>
      <c r="G57" s="120">
        <f>0.4/100*5</f>
        <v>0.02</v>
      </c>
      <c r="H57" s="120">
        <f>78.5/100*5</f>
        <v>3.9250000000000003</v>
      </c>
      <c r="I57" s="120">
        <f>0.5/100*5</f>
        <v>2.5000000000000001E-2</v>
      </c>
      <c r="J57" s="132">
        <f>734/100*5</f>
        <v>36.700000000000003</v>
      </c>
      <c r="K57" s="121"/>
      <c r="L57" s="120">
        <f>0.6/100*5</f>
        <v>0.03</v>
      </c>
      <c r="M57" s="5"/>
    </row>
    <row r="58" spans="1:14" ht="15.75" thickBot="1"/>
    <row r="59" spans="1:14" ht="15.75" thickBot="1">
      <c r="A59" s="278" t="s">
        <v>180</v>
      </c>
      <c r="B59" s="279"/>
      <c r="C59" s="298"/>
      <c r="D59" s="243">
        <v>100</v>
      </c>
      <c r="E59" s="243">
        <v>100</v>
      </c>
      <c r="F59" s="137">
        <v>100</v>
      </c>
      <c r="G59" s="4">
        <f>0.4/100*F59</f>
        <v>0.4</v>
      </c>
      <c r="H59" s="4">
        <v>0</v>
      </c>
      <c r="I59" s="4">
        <f>11.7/100*F59</f>
        <v>11.7</v>
      </c>
      <c r="J59" s="250">
        <f>50/100*F59</f>
        <v>50</v>
      </c>
      <c r="K59" s="251"/>
      <c r="L59" s="4">
        <v>0</v>
      </c>
      <c r="M59" s="5"/>
    </row>
  </sheetData>
  <mergeCells count="36">
    <mergeCell ref="J10:K10"/>
    <mergeCell ref="A17:C17"/>
    <mergeCell ref="A2:C2"/>
    <mergeCell ref="A3:C3"/>
    <mergeCell ref="A4:C4"/>
    <mergeCell ref="A5:C5"/>
    <mergeCell ref="A10:C10"/>
    <mergeCell ref="A11:C11"/>
    <mergeCell ref="A12:C12"/>
    <mergeCell ref="A14:C14"/>
    <mergeCell ref="A15:C15"/>
    <mergeCell ref="A16:C16"/>
    <mergeCell ref="A20:C20"/>
    <mergeCell ref="A23:C23"/>
    <mergeCell ref="A24:C24"/>
    <mergeCell ref="A25:C25"/>
    <mergeCell ref="A26:C26"/>
    <mergeCell ref="J28:K28"/>
    <mergeCell ref="A29:C29"/>
    <mergeCell ref="A30:C30"/>
    <mergeCell ref="A32:C32"/>
    <mergeCell ref="A34:C34"/>
    <mergeCell ref="A33:C33"/>
    <mergeCell ref="A28:C28"/>
    <mergeCell ref="A59:C59"/>
    <mergeCell ref="A35:C35"/>
    <mergeCell ref="A37:C37"/>
    <mergeCell ref="A39:C39"/>
    <mergeCell ref="A40:C40"/>
    <mergeCell ref="A55:C55"/>
    <mergeCell ref="A46:C46"/>
    <mergeCell ref="A47:C47"/>
    <mergeCell ref="A48:C48"/>
    <mergeCell ref="A41:C41"/>
    <mergeCell ref="A42:C42"/>
    <mergeCell ref="A44:C4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A11" sqref="A11:M11"/>
    </sheetView>
  </sheetViews>
  <sheetFormatPr defaultRowHeight="15"/>
  <sheetData>
    <row r="1" spans="1:14" ht="15.75" thickBot="1"/>
    <row r="2" spans="1:14" ht="15.75" thickBot="1">
      <c r="A2" s="278" t="s">
        <v>207</v>
      </c>
      <c r="B2" s="279"/>
      <c r="C2" s="279"/>
      <c r="D2" s="198"/>
      <c r="E2" s="199"/>
      <c r="F2" s="70">
        <v>30</v>
      </c>
      <c r="G2" s="3">
        <f>7/100*30</f>
        <v>2.1</v>
      </c>
      <c r="H2" s="3">
        <f>1/100*30</f>
        <v>0.3</v>
      </c>
      <c r="I2" s="3">
        <f>47/100*30</f>
        <v>14.1</v>
      </c>
      <c r="J2" s="17">
        <f>230/100*30</f>
        <v>69</v>
      </c>
      <c r="K2" s="18"/>
      <c r="L2" s="4">
        <v>0</v>
      </c>
      <c r="M2" s="5"/>
    </row>
    <row r="3" spans="1:14" ht="15.75" thickBot="1">
      <c r="A3" s="278" t="s">
        <v>188</v>
      </c>
      <c r="B3" s="279"/>
      <c r="C3" s="279"/>
      <c r="D3" s="198"/>
      <c r="E3" s="199"/>
      <c r="F3" s="70">
        <v>10</v>
      </c>
      <c r="G3" s="3">
        <f>7.7/100*10</f>
        <v>0.77</v>
      </c>
      <c r="H3" s="3">
        <f>8.5/100*10</f>
        <v>0.85000000000000009</v>
      </c>
      <c r="I3" s="3">
        <f>54.5/100*10</f>
        <v>5.45</v>
      </c>
      <c r="J3" s="17">
        <f>330/100*10</f>
        <v>33</v>
      </c>
      <c r="K3" s="18"/>
      <c r="L3" s="4">
        <v>0</v>
      </c>
      <c r="M3" s="5"/>
      <c r="N3">
        <v>1</v>
      </c>
    </row>
    <row r="4" spans="1:14" ht="15.75" thickBot="1">
      <c r="F4" s="41"/>
    </row>
    <row r="5" spans="1:14" ht="15.75" thickBot="1">
      <c r="A5" s="278" t="s">
        <v>207</v>
      </c>
      <c r="B5" s="279"/>
      <c r="C5" s="279"/>
      <c r="D5" s="206"/>
      <c r="E5" s="205"/>
      <c r="F5" s="210">
        <v>30</v>
      </c>
      <c r="G5" s="211">
        <f>7/100*30</f>
        <v>2.1</v>
      </c>
      <c r="H5" s="211">
        <f>1/100*30</f>
        <v>0.3</v>
      </c>
      <c r="I5" s="211">
        <f>47/100*30</f>
        <v>14.1</v>
      </c>
      <c r="J5" s="221">
        <f>230/100*30</f>
        <v>69</v>
      </c>
      <c r="K5" s="204"/>
      <c r="L5" s="211">
        <v>0</v>
      </c>
      <c r="M5" s="68"/>
    </row>
    <row r="6" spans="1:14" ht="15.75" thickBot="1">
      <c r="A6" s="278" t="s">
        <v>23</v>
      </c>
      <c r="B6" s="279"/>
      <c r="C6" s="279"/>
      <c r="D6" s="198"/>
      <c r="E6" s="199"/>
      <c r="F6" s="70">
        <v>5</v>
      </c>
      <c r="G6" s="4">
        <f>0.4/100*5</f>
        <v>0.02</v>
      </c>
      <c r="H6" s="4">
        <f>78.5/100*5</f>
        <v>3.9250000000000003</v>
      </c>
      <c r="I6" s="4">
        <f>0.5/100*5</f>
        <v>2.5000000000000001E-2</v>
      </c>
      <c r="J6" s="221">
        <f>734/100*5</f>
        <v>36.700000000000003</v>
      </c>
      <c r="K6" s="222"/>
      <c r="L6" s="4">
        <f>0.6/100*5</f>
        <v>0.03</v>
      </c>
      <c r="M6" s="5"/>
    </row>
    <row r="7" spans="1:14" ht="15.75" thickBot="1"/>
    <row r="8" spans="1:14" ht="15.75" thickBot="1">
      <c r="A8" s="278" t="s">
        <v>207</v>
      </c>
      <c r="B8" s="279"/>
      <c r="C8" s="279"/>
      <c r="D8" s="164"/>
      <c r="E8" s="165"/>
      <c r="F8" s="65">
        <v>30</v>
      </c>
      <c r="G8" s="120">
        <f>7/100*30</f>
        <v>2.1</v>
      </c>
      <c r="H8" s="120">
        <f>1/100*30</f>
        <v>0.3</v>
      </c>
      <c r="I8" s="120">
        <f>47/100*30</f>
        <v>14.1</v>
      </c>
      <c r="J8" s="17">
        <f>230/100*30</f>
        <v>69</v>
      </c>
      <c r="K8" s="127"/>
      <c r="L8" s="120">
        <v>0</v>
      </c>
      <c r="M8" s="85"/>
    </row>
    <row r="9" spans="1:14" ht="15.75" thickBot="1">
      <c r="A9" s="278" t="s">
        <v>133</v>
      </c>
      <c r="B9" s="279"/>
      <c r="C9" s="279"/>
      <c r="D9" s="164"/>
      <c r="E9" s="165"/>
      <c r="F9" s="65">
        <v>8</v>
      </c>
      <c r="G9" s="4">
        <f>0.3/100*8</f>
        <v>2.4E-2</v>
      </c>
      <c r="H9" s="4">
        <v>0</v>
      </c>
      <c r="I9" s="4">
        <f>60.2/100*8</f>
        <v>4.8159999999999998</v>
      </c>
      <c r="J9" s="17">
        <f>248/100*8</f>
        <v>19.84</v>
      </c>
      <c r="K9" s="127"/>
      <c r="L9" s="4">
        <v>0</v>
      </c>
      <c r="M9" s="85"/>
      <c r="N9">
        <v>3</v>
      </c>
    </row>
    <row r="10" spans="1:14" ht="15.75" thickBot="1"/>
    <row r="11" spans="1:14" ht="15.75" thickBot="1">
      <c r="A11" s="278" t="s">
        <v>207</v>
      </c>
      <c r="B11" s="279"/>
      <c r="C11" s="279"/>
      <c r="D11" s="164"/>
      <c r="E11" s="165"/>
      <c r="F11" s="65">
        <v>30</v>
      </c>
      <c r="G11" s="120">
        <f>7/100*30</f>
        <v>2.1</v>
      </c>
      <c r="H11" s="120">
        <f>1/100*30</f>
        <v>0.3</v>
      </c>
      <c r="I11" s="120">
        <f>47/100*30</f>
        <v>14.1</v>
      </c>
      <c r="J11" s="17">
        <f>230/100*30</f>
        <v>69</v>
      </c>
      <c r="K11" s="127"/>
      <c r="L11" s="120">
        <v>0</v>
      </c>
      <c r="M11" s="85"/>
    </row>
    <row r="12" spans="1:14" ht="15.75" thickBot="1">
      <c r="A12" s="278" t="s">
        <v>189</v>
      </c>
      <c r="B12" s="279"/>
      <c r="C12" s="279"/>
      <c r="D12" s="164"/>
      <c r="E12" s="165"/>
      <c r="F12" s="65">
        <v>6</v>
      </c>
      <c r="G12" s="4">
        <f>21.5/100*6</f>
        <v>1.29</v>
      </c>
      <c r="H12" s="4">
        <f>22.5/100*6</f>
        <v>1.35</v>
      </c>
      <c r="I12" s="4">
        <v>0</v>
      </c>
      <c r="J12" s="17">
        <f>288/100*6</f>
        <v>17.28</v>
      </c>
      <c r="K12" s="18"/>
      <c r="L12" s="4">
        <v>0</v>
      </c>
      <c r="M12" s="5"/>
      <c r="N12">
        <v>4</v>
      </c>
    </row>
    <row r="13" spans="1:14" ht="15.75" thickBot="1">
      <c r="A13" s="278" t="s">
        <v>190</v>
      </c>
      <c r="B13" s="279"/>
      <c r="C13" s="279"/>
      <c r="D13" s="164"/>
      <c r="E13" s="165"/>
      <c r="F13" s="65">
        <v>5</v>
      </c>
      <c r="G13" s="120">
        <v>0</v>
      </c>
      <c r="H13" s="120">
        <v>0</v>
      </c>
      <c r="I13" s="120">
        <f>100/100*5</f>
        <v>5</v>
      </c>
      <c r="J13" s="132">
        <f>400/100*5</f>
        <v>20</v>
      </c>
      <c r="K13" s="121"/>
      <c r="L13" s="120">
        <v>0</v>
      </c>
      <c r="M13" s="5"/>
    </row>
    <row r="14" spans="1:14" ht="15.75" thickBot="1"/>
    <row r="15" spans="1:14" ht="15.75" thickBot="1">
      <c r="A15" s="278" t="s">
        <v>207</v>
      </c>
      <c r="B15" s="279"/>
      <c r="C15" s="279"/>
      <c r="D15" s="164"/>
      <c r="E15" s="165"/>
      <c r="F15" s="65">
        <v>30</v>
      </c>
      <c r="G15" s="120">
        <f>7/100*30</f>
        <v>2.1</v>
      </c>
      <c r="H15" s="120">
        <f>1/100*30</f>
        <v>0.3</v>
      </c>
      <c r="I15" s="120">
        <f>47/100*30</f>
        <v>14.1</v>
      </c>
      <c r="J15" s="17">
        <f>230/100*30</f>
        <v>69</v>
      </c>
      <c r="K15" s="127"/>
      <c r="L15" s="120">
        <v>0</v>
      </c>
      <c r="M15" s="85"/>
    </row>
    <row r="16" spans="1:14" ht="15.75" thickBot="1">
      <c r="A16" s="278" t="s">
        <v>189</v>
      </c>
      <c r="B16" s="279"/>
      <c r="C16" s="279"/>
      <c r="D16" s="164"/>
      <c r="E16" s="165"/>
      <c r="F16" s="65">
        <v>6</v>
      </c>
      <c r="G16" s="4">
        <f>21.5/100*6</f>
        <v>1.29</v>
      </c>
      <c r="H16" s="4">
        <f>22.5/100*6</f>
        <v>1.35</v>
      </c>
      <c r="I16" s="4">
        <v>0</v>
      </c>
      <c r="J16" s="17">
        <f>288/100*6</f>
        <v>17.28</v>
      </c>
      <c r="K16" s="18"/>
      <c r="L16" s="4">
        <v>0</v>
      </c>
      <c r="M16" s="5"/>
      <c r="N16">
        <v>5</v>
      </c>
    </row>
    <row r="17" spans="1:13" ht="15.75" thickBot="1"/>
    <row r="18" spans="1:13" ht="15.75" thickBot="1">
      <c r="A18" s="278" t="s">
        <v>129</v>
      </c>
      <c r="B18" s="279"/>
      <c r="C18" s="279"/>
      <c r="D18" s="178"/>
      <c r="E18" s="21"/>
      <c r="F18" s="66">
        <v>50</v>
      </c>
      <c r="G18" s="3">
        <f>7/100*50</f>
        <v>3.5000000000000004</v>
      </c>
      <c r="H18" s="3">
        <f>1/100*50</f>
        <v>0.5</v>
      </c>
      <c r="I18" s="3">
        <f>46/100*50</f>
        <v>23</v>
      </c>
      <c r="J18" s="287">
        <f>200/100*50</f>
        <v>100</v>
      </c>
      <c r="K18" s="288"/>
      <c r="L18" s="3">
        <v>0</v>
      </c>
      <c r="M18" s="5"/>
    </row>
  </sheetData>
  <mergeCells count="13">
    <mergeCell ref="A18:C18"/>
    <mergeCell ref="J18:K18"/>
    <mergeCell ref="A2:C2"/>
    <mergeCell ref="A3:C3"/>
    <mergeCell ref="A5:C5"/>
    <mergeCell ref="A15:C15"/>
    <mergeCell ref="A16:C16"/>
    <mergeCell ref="A8:C8"/>
    <mergeCell ref="A9:C9"/>
    <mergeCell ref="A11:C11"/>
    <mergeCell ref="A12:C12"/>
    <mergeCell ref="A13:C13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64"/>
  <sheetViews>
    <sheetView zoomScaleNormal="100" workbookViewId="0">
      <pane ySplit="5" topLeftCell="A6" activePane="bottomLeft" state="frozen"/>
      <selection pane="bottomLeft" activeCell="S19" sqref="S19"/>
    </sheetView>
  </sheetViews>
  <sheetFormatPr defaultRowHeight="15"/>
  <cols>
    <col min="1" max="1" width="11.85546875" customWidth="1"/>
    <col min="5" max="10" width="9.28515625" bestFit="1" customWidth="1"/>
    <col min="11" max="11" width="10.140625" bestFit="1" customWidth="1"/>
    <col min="12" max="13" width="9.28515625" bestFit="1" customWidth="1"/>
  </cols>
  <sheetData>
    <row r="2" spans="1:14" ht="21">
      <c r="E2" s="50" t="s">
        <v>94</v>
      </c>
    </row>
    <row r="3" spans="1:14" ht="15.75" thickBot="1"/>
    <row r="4" spans="1:14" ht="15.75" thickBot="1">
      <c r="A4" s="293" t="s">
        <v>8</v>
      </c>
      <c r="B4" s="299" t="s">
        <v>9</v>
      </c>
      <c r="C4" s="300"/>
      <c r="D4" s="300"/>
      <c r="E4" s="303" t="s">
        <v>29</v>
      </c>
      <c r="F4" s="304"/>
      <c r="G4" s="289" t="s">
        <v>10</v>
      </c>
      <c r="H4" s="305" t="s">
        <v>11</v>
      </c>
      <c r="I4" s="305"/>
      <c r="J4" s="305"/>
      <c r="K4" s="289" t="s">
        <v>15</v>
      </c>
      <c r="L4" s="289"/>
      <c r="M4" s="289" t="s">
        <v>16</v>
      </c>
      <c r="N4" s="289" t="s">
        <v>17</v>
      </c>
    </row>
    <row r="5" spans="1:14" ht="15.75" thickBot="1">
      <c r="A5" s="295"/>
      <c r="B5" s="301"/>
      <c r="C5" s="302"/>
      <c r="D5" s="302"/>
      <c r="E5" s="184" t="s">
        <v>30</v>
      </c>
      <c r="F5" s="184" t="s">
        <v>31</v>
      </c>
      <c r="G5" s="290"/>
      <c r="H5" s="185" t="s">
        <v>12</v>
      </c>
      <c r="I5" s="185" t="s">
        <v>13</v>
      </c>
      <c r="J5" s="185" t="s">
        <v>14</v>
      </c>
      <c r="K5" s="290"/>
      <c r="L5" s="290"/>
      <c r="M5" s="290"/>
      <c r="N5" s="290"/>
    </row>
    <row r="6" spans="1:14" ht="15.75" thickBot="1">
      <c r="A6" s="2" t="s">
        <v>2</v>
      </c>
      <c r="B6" s="189"/>
      <c r="C6" s="190"/>
      <c r="D6" s="190"/>
      <c r="E6" s="190"/>
      <c r="F6" s="190"/>
      <c r="G6" s="190"/>
      <c r="H6" s="191">
        <f>H62</f>
        <v>48.076749999999997</v>
      </c>
      <c r="I6" s="191">
        <f>I62</f>
        <v>62.832999999999984</v>
      </c>
      <c r="J6" s="191">
        <f>J62</f>
        <v>208.30309999999997</v>
      </c>
      <c r="K6" s="191">
        <f>K62</f>
        <v>1547.2335499999999</v>
      </c>
      <c r="L6" s="192"/>
      <c r="M6" s="193">
        <f>M62</f>
        <v>27.119900000000001</v>
      </c>
      <c r="N6" s="194"/>
    </row>
    <row r="7" spans="1:14" ht="15.75" thickBot="1">
      <c r="A7" s="296" t="s">
        <v>4</v>
      </c>
      <c r="B7" s="278" t="s">
        <v>150</v>
      </c>
      <c r="C7" s="279"/>
      <c r="D7" s="279"/>
      <c r="E7" s="279"/>
      <c r="F7" s="298"/>
      <c r="G7" s="242">
        <v>200</v>
      </c>
      <c r="H7" s="243"/>
      <c r="I7" s="243"/>
      <c r="J7" s="243"/>
      <c r="K7" s="7"/>
      <c r="L7" s="8"/>
      <c r="M7" s="243"/>
      <c r="N7" s="243"/>
    </row>
    <row r="8" spans="1:14" ht="15.75" thickBot="1">
      <c r="A8" s="297"/>
      <c r="B8" s="280" t="s">
        <v>87</v>
      </c>
      <c r="C8" s="283"/>
      <c r="D8" s="284"/>
      <c r="E8" s="243">
        <v>10</v>
      </c>
      <c r="F8" s="243">
        <v>10</v>
      </c>
      <c r="G8" s="243"/>
      <c r="H8" s="4">
        <f>12.6/100*10</f>
        <v>1.26</v>
      </c>
      <c r="I8" s="4">
        <f>3.3/100*10</f>
        <v>0.33</v>
      </c>
      <c r="J8" s="4">
        <f>60.7/100*10</f>
        <v>6.07</v>
      </c>
      <c r="K8" s="250">
        <f>335/100*10</f>
        <v>33.5</v>
      </c>
      <c r="L8" s="236"/>
      <c r="M8" s="4">
        <v>0</v>
      </c>
      <c r="N8" s="5"/>
    </row>
    <row r="9" spans="1:14" ht="15.75" thickBot="1">
      <c r="A9" s="297"/>
      <c r="B9" s="280" t="s">
        <v>65</v>
      </c>
      <c r="C9" s="281"/>
      <c r="D9" s="281"/>
      <c r="E9" s="243">
        <v>10</v>
      </c>
      <c r="F9" s="243">
        <v>10</v>
      </c>
      <c r="G9" s="243"/>
      <c r="H9" s="243">
        <f>11.5/100*10</f>
        <v>1.1500000000000001</v>
      </c>
      <c r="I9" s="243">
        <f>3.3/100*10</f>
        <v>0.33</v>
      </c>
      <c r="J9" s="243">
        <f>65.5/100*10</f>
        <v>6.5500000000000007</v>
      </c>
      <c r="K9" s="89">
        <f>348/100*10</f>
        <v>34.799999999999997</v>
      </c>
      <c r="L9" s="8"/>
      <c r="M9" s="243">
        <v>0</v>
      </c>
      <c r="N9" s="243"/>
    </row>
    <row r="10" spans="1:14" ht="15.75" thickBot="1">
      <c r="A10" s="297"/>
      <c r="B10" s="280" t="s">
        <v>64</v>
      </c>
      <c r="C10" s="281"/>
      <c r="D10" s="281"/>
      <c r="E10" s="243">
        <v>10</v>
      </c>
      <c r="F10" s="243">
        <v>10</v>
      </c>
      <c r="G10" s="243"/>
      <c r="H10" s="4">
        <f>7/100*10</f>
        <v>0.70000000000000007</v>
      </c>
      <c r="I10" s="4">
        <f>1/100*10</f>
        <v>0.1</v>
      </c>
      <c r="J10" s="235">
        <f>74/100*10</f>
        <v>7.4</v>
      </c>
      <c r="K10" s="250">
        <f>330/100*10</f>
        <v>33</v>
      </c>
      <c r="L10" s="236"/>
      <c r="M10" s="4">
        <v>0</v>
      </c>
      <c r="N10" s="243"/>
    </row>
    <row r="11" spans="1:14" ht="15.75" thickBot="1">
      <c r="A11" s="297"/>
      <c r="B11" s="280" t="s">
        <v>46</v>
      </c>
      <c r="C11" s="281"/>
      <c r="D11" s="281"/>
      <c r="E11" s="243">
        <v>150</v>
      </c>
      <c r="F11" s="243">
        <v>150</v>
      </c>
      <c r="G11" s="243"/>
      <c r="H11" s="243">
        <f>2.8/100*150</f>
        <v>4.1999999999999993</v>
      </c>
      <c r="I11" s="243">
        <f>2.5/100*150</f>
        <v>3.75</v>
      </c>
      <c r="J11" s="243">
        <f>4.7/100*150</f>
        <v>7.05</v>
      </c>
      <c r="K11" s="89">
        <f>55/100*150</f>
        <v>82.5</v>
      </c>
      <c r="L11" s="8"/>
      <c r="M11" s="243">
        <f>1/100*150</f>
        <v>1.5</v>
      </c>
      <c r="N11" s="243"/>
    </row>
    <row r="12" spans="1:14" ht="15.75" thickBot="1">
      <c r="A12" s="297"/>
      <c r="B12" s="280" t="s">
        <v>48</v>
      </c>
      <c r="C12" s="281"/>
      <c r="D12" s="281"/>
      <c r="E12" s="243">
        <v>5</v>
      </c>
      <c r="F12" s="243">
        <v>5</v>
      </c>
      <c r="G12" s="243"/>
      <c r="H12" s="243">
        <v>0</v>
      </c>
      <c r="I12" s="243">
        <v>0</v>
      </c>
      <c r="J12" s="243">
        <f>100/100*5</f>
        <v>5</v>
      </c>
      <c r="K12" s="89">
        <f>400/100*5</f>
        <v>20</v>
      </c>
      <c r="L12" s="8"/>
      <c r="M12" s="243">
        <v>0</v>
      </c>
      <c r="N12" s="243"/>
    </row>
    <row r="13" spans="1:14" ht="15.75" thickBot="1">
      <c r="A13" s="297"/>
      <c r="B13" s="280" t="s">
        <v>47</v>
      </c>
      <c r="C13" s="281"/>
      <c r="D13" s="281"/>
      <c r="E13" s="243">
        <v>5</v>
      </c>
      <c r="F13" s="243">
        <v>5</v>
      </c>
      <c r="G13" s="243"/>
      <c r="H13" s="243">
        <f>0.4/100*5</f>
        <v>0.02</v>
      </c>
      <c r="I13" s="243">
        <f>78.5/100*5</f>
        <v>3.9250000000000003</v>
      </c>
      <c r="J13" s="243">
        <f>0.5/100*5</f>
        <v>2.5000000000000001E-2</v>
      </c>
      <c r="K13" s="218">
        <f>734/100*5</f>
        <v>36.700000000000003</v>
      </c>
      <c r="L13" s="238"/>
      <c r="M13" s="243">
        <f>0.6/100*5</f>
        <v>0.03</v>
      </c>
      <c r="N13" s="243"/>
    </row>
    <row r="14" spans="1:14" ht="15.75" thickBot="1">
      <c r="A14" s="297"/>
      <c r="B14" s="278" t="s">
        <v>207</v>
      </c>
      <c r="C14" s="279"/>
      <c r="D14" s="279"/>
      <c r="E14" s="239"/>
      <c r="F14" s="238"/>
      <c r="G14" s="242">
        <v>30</v>
      </c>
      <c r="H14" s="243">
        <f>7/100*30</f>
        <v>2.1</v>
      </c>
      <c r="I14" s="243">
        <f>1/100*30</f>
        <v>0.3</v>
      </c>
      <c r="J14" s="243">
        <f>47/100*30</f>
        <v>14.1</v>
      </c>
      <c r="K14" s="250">
        <f>230/100*30</f>
        <v>69</v>
      </c>
      <c r="L14" s="236"/>
      <c r="M14" s="243">
        <v>0</v>
      </c>
      <c r="N14" s="85"/>
    </row>
    <row r="15" spans="1:14" ht="15.75" thickBot="1">
      <c r="A15" s="297"/>
      <c r="B15" s="278" t="s">
        <v>133</v>
      </c>
      <c r="C15" s="279"/>
      <c r="D15" s="279"/>
      <c r="E15" s="239"/>
      <c r="F15" s="238"/>
      <c r="G15" s="242">
        <v>8</v>
      </c>
      <c r="H15" s="4">
        <f>0.3/100*8</f>
        <v>2.4E-2</v>
      </c>
      <c r="I15" s="4">
        <v>0</v>
      </c>
      <c r="J15" s="4">
        <f>60.2/100*8</f>
        <v>4.8159999999999998</v>
      </c>
      <c r="K15" s="250">
        <f>248/100*8</f>
        <v>19.84</v>
      </c>
      <c r="L15" s="236"/>
      <c r="M15" s="4">
        <v>0</v>
      </c>
      <c r="N15" s="85"/>
    </row>
    <row r="16" spans="1:14" ht="15.75" thickBot="1">
      <c r="A16" s="297"/>
      <c r="B16" s="278" t="s">
        <v>44</v>
      </c>
      <c r="C16" s="279"/>
      <c r="D16" s="279"/>
      <c r="E16" s="220"/>
      <c r="F16" s="21"/>
      <c r="G16" s="137">
        <v>180</v>
      </c>
      <c r="H16" s="3"/>
      <c r="I16" s="3"/>
      <c r="J16" s="3"/>
      <c r="K16" s="307"/>
      <c r="L16" s="308"/>
      <c r="M16" s="3"/>
      <c r="N16" s="66">
        <v>263</v>
      </c>
    </row>
    <row r="17" spans="1:14" ht="15.75" thickBot="1">
      <c r="A17" s="297"/>
      <c r="B17" s="277" t="s">
        <v>210</v>
      </c>
      <c r="C17" s="277"/>
      <c r="D17" s="277"/>
      <c r="E17" s="243">
        <v>0.6</v>
      </c>
      <c r="F17" s="243">
        <v>0.6</v>
      </c>
      <c r="G17" s="243"/>
      <c r="H17" s="4">
        <f>20/100*0.6</f>
        <v>0.12</v>
      </c>
      <c r="I17" s="4">
        <v>0</v>
      </c>
      <c r="J17" s="4">
        <f>6.9/100*0.6</f>
        <v>4.1399999999999999E-2</v>
      </c>
      <c r="K17" s="250">
        <f>109/100*0.6</f>
        <v>0.65400000000000003</v>
      </c>
      <c r="L17" s="251"/>
      <c r="M17" s="4">
        <f>10/100*0.6</f>
        <v>0.06</v>
      </c>
      <c r="N17" s="243"/>
    </row>
    <row r="18" spans="1:14" ht="15.75" thickBot="1">
      <c r="A18" s="297"/>
      <c r="B18" s="280" t="s">
        <v>24</v>
      </c>
      <c r="C18" s="281"/>
      <c r="D18" s="281"/>
      <c r="E18" s="243">
        <v>8</v>
      </c>
      <c r="F18" s="243">
        <v>8</v>
      </c>
      <c r="G18" s="242"/>
      <c r="H18" s="3">
        <v>0</v>
      </c>
      <c r="I18" s="3">
        <v>0</v>
      </c>
      <c r="J18" s="3">
        <v>8</v>
      </c>
      <c r="K18" s="250">
        <v>32</v>
      </c>
      <c r="L18" s="236"/>
      <c r="M18" s="3">
        <v>0</v>
      </c>
      <c r="N18" s="5"/>
    </row>
    <row r="19" spans="1:14" ht="15.75" thickBot="1">
      <c r="A19" s="296" t="s">
        <v>5</v>
      </c>
      <c r="B19" s="278" t="s">
        <v>151</v>
      </c>
      <c r="C19" s="279"/>
      <c r="D19" s="279"/>
      <c r="E19" s="279"/>
      <c r="F19" s="298"/>
      <c r="G19" s="137">
        <v>250</v>
      </c>
      <c r="H19" s="3"/>
      <c r="I19" s="3"/>
      <c r="J19" s="3"/>
      <c r="K19" s="287"/>
      <c r="L19" s="288"/>
      <c r="M19" s="3"/>
      <c r="N19" s="5"/>
    </row>
    <row r="20" spans="1:14" ht="15.75" thickBot="1">
      <c r="A20" s="297"/>
      <c r="B20" s="280" t="s">
        <v>233</v>
      </c>
      <c r="C20" s="281"/>
      <c r="D20" s="282"/>
      <c r="E20" s="243">
        <v>7</v>
      </c>
      <c r="F20" s="243">
        <v>7</v>
      </c>
      <c r="G20" s="142"/>
      <c r="H20" s="4">
        <f>9.3/100*7</f>
        <v>0.65100000000000013</v>
      </c>
      <c r="I20" s="4">
        <f>1.1/100*7</f>
        <v>7.7000000000000013E-2</v>
      </c>
      <c r="J20" s="4">
        <f>63/100*7</f>
        <v>4.41</v>
      </c>
      <c r="K20" s="250">
        <f>320/100*7</f>
        <v>22.400000000000002</v>
      </c>
      <c r="L20" s="236"/>
      <c r="M20" s="4">
        <v>0</v>
      </c>
      <c r="N20" s="68"/>
    </row>
    <row r="21" spans="1:14" ht="15.75" thickBot="1">
      <c r="A21" s="297"/>
      <c r="B21" s="277" t="s">
        <v>28</v>
      </c>
      <c r="C21" s="277"/>
      <c r="D21" s="277"/>
      <c r="E21" s="243">
        <v>20</v>
      </c>
      <c r="F21" s="243">
        <v>20</v>
      </c>
      <c r="G21" s="142"/>
      <c r="H21" s="4">
        <f>18.9/100*20</f>
        <v>3.7799999999999994</v>
      </c>
      <c r="I21" s="4">
        <f>12.4/100*20</f>
        <v>2.48</v>
      </c>
      <c r="J21" s="4">
        <v>0</v>
      </c>
      <c r="K21" s="250">
        <f>187/100*20</f>
        <v>37.400000000000006</v>
      </c>
      <c r="L21" s="236"/>
      <c r="M21" s="4">
        <v>0</v>
      </c>
      <c r="N21" s="68"/>
    </row>
    <row r="22" spans="1:14" ht="15.75" thickBot="1">
      <c r="A22" s="297"/>
      <c r="B22" s="277" t="s">
        <v>33</v>
      </c>
      <c r="C22" s="277"/>
      <c r="D22" s="277"/>
      <c r="E22" s="243">
        <v>100</v>
      </c>
      <c r="F22" s="243">
        <v>70</v>
      </c>
      <c r="G22" s="142"/>
      <c r="H22" s="4">
        <f>1.2/100*70</f>
        <v>0.84</v>
      </c>
      <c r="I22" s="4">
        <v>0</v>
      </c>
      <c r="J22" s="4">
        <f>14/100*70</f>
        <v>9.8000000000000007</v>
      </c>
      <c r="K22" s="244">
        <f>62/100*70</f>
        <v>43.4</v>
      </c>
      <c r="L22" s="247"/>
      <c r="M22" s="4">
        <f>7.5/100*70</f>
        <v>5.25</v>
      </c>
      <c r="N22" s="68"/>
    </row>
    <row r="23" spans="1:14" ht="15.75" thickBot="1">
      <c r="A23" s="297"/>
      <c r="B23" s="277" t="s">
        <v>34</v>
      </c>
      <c r="C23" s="277"/>
      <c r="D23" s="277"/>
      <c r="E23" s="243">
        <v>7</v>
      </c>
      <c r="F23" s="243">
        <v>5</v>
      </c>
      <c r="G23" s="142"/>
      <c r="H23" s="4">
        <f>0.2/100*5</f>
        <v>0.01</v>
      </c>
      <c r="I23" s="4">
        <v>0</v>
      </c>
      <c r="J23" s="4">
        <f>10/100*5</f>
        <v>0.5</v>
      </c>
      <c r="K23" s="244">
        <f>42/100*5</f>
        <v>2.1</v>
      </c>
      <c r="L23" s="247"/>
      <c r="M23" s="4">
        <f>8.5/100*5</f>
        <v>0.42500000000000004</v>
      </c>
      <c r="N23" s="68"/>
    </row>
    <row r="24" spans="1:14" ht="15.75" thickBot="1">
      <c r="A24" s="297"/>
      <c r="B24" s="277" t="s">
        <v>35</v>
      </c>
      <c r="C24" s="277"/>
      <c r="D24" s="277"/>
      <c r="E24" s="243">
        <v>7</v>
      </c>
      <c r="F24" s="243">
        <v>5</v>
      </c>
      <c r="G24" s="142"/>
      <c r="H24" s="4">
        <f>1/100*5</f>
        <v>0.05</v>
      </c>
      <c r="I24" s="4">
        <v>0</v>
      </c>
      <c r="J24" s="4">
        <f>6.1/100*5</f>
        <v>0.30499999999999999</v>
      </c>
      <c r="K24" s="244">
        <f>29/100*5</f>
        <v>1.45</v>
      </c>
      <c r="L24" s="247"/>
      <c r="M24" s="4">
        <f>4/100*5</f>
        <v>0.2</v>
      </c>
      <c r="N24" s="68"/>
    </row>
    <row r="25" spans="1:14" ht="15.75" thickBot="1">
      <c r="A25" s="297"/>
      <c r="B25" s="280" t="s">
        <v>23</v>
      </c>
      <c r="C25" s="281"/>
      <c r="D25" s="281"/>
      <c r="E25" s="243">
        <v>2</v>
      </c>
      <c r="F25" s="243">
        <v>2</v>
      </c>
      <c r="G25" s="142"/>
      <c r="H25" s="4">
        <f>0.4/100*2</f>
        <v>8.0000000000000002E-3</v>
      </c>
      <c r="I25" s="4">
        <f>78.5/100*2</f>
        <v>1.57</v>
      </c>
      <c r="J25" s="4">
        <f>0.5/100*2</f>
        <v>0.01</v>
      </c>
      <c r="K25" s="244">
        <f>734/100*2</f>
        <v>14.68</v>
      </c>
      <c r="L25" s="247"/>
      <c r="M25" s="4">
        <f>0.6/100*2</f>
        <v>1.2E-2</v>
      </c>
      <c r="N25" s="68"/>
    </row>
    <row r="26" spans="1:14" ht="15.75" thickBot="1">
      <c r="A26" s="297"/>
      <c r="B26" s="277" t="s">
        <v>36</v>
      </c>
      <c r="C26" s="277"/>
      <c r="D26" s="277"/>
      <c r="E26" s="243">
        <v>2</v>
      </c>
      <c r="F26" s="243">
        <v>2</v>
      </c>
      <c r="G26" s="142"/>
      <c r="H26" s="4">
        <v>0</v>
      </c>
      <c r="I26" s="4">
        <f>99.9/100*2</f>
        <v>1.9980000000000002</v>
      </c>
      <c r="J26" s="4">
        <v>0</v>
      </c>
      <c r="K26" s="244">
        <f>900/100*2</f>
        <v>18</v>
      </c>
      <c r="L26" s="247"/>
      <c r="M26" s="4">
        <v>0</v>
      </c>
      <c r="N26" s="68"/>
    </row>
    <row r="27" spans="1:14" ht="15.75" thickBot="1">
      <c r="A27" s="297"/>
      <c r="B27" s="277" t="s">
        <v>37</v>
      </c>
      <c r="C27" s="277"/>
      <c r="D27" s="277"/>
      <c r="E27" s="243">
        <v>6</v>
      </c>
      <c r="F27" s="243">
        <v>6</v>
      </c>
      <c r="G27" s="142"/>
      <c r="H27" s="4">
        <f>2.6/100*6</f>
        <v>0.15600000000000003</v>
      </c>
      <c r="I27" s="4">
        <f>15/100*6</f>
        <v>0.89999999999999991</v>
      </c>
      <c r="J27" s="4">
        <f>3.6/100*6</f>
        <v>0.21600000000000003</v>
      </c>
      <c r="K27" s="250">
        <f>160/100*6</f>
        <v>9.6000000000000014</v>
      </c>
      <c r="L27" s="236"/>
      <c r="M27" s="4">
        <v>0</v>
      </c>
      <c r="N27" s="68"/>
    </row>
    <row r="28" spans="1:14" ht="15.75" thickBot="1">
      <c r="A28" s="297"/>
      <c r="B28" s="278" t="s">
        <v>142</v>
      </c>
      <c r="C28" s="279"/>
      <c r="D28" s="279"/>
      <c r="E28" s="220"/>
      <c r="F28" s="21"/>
      <c r="G28" s="137">
        <v>150</v>
      </c>
      <c r="H28" s="3"/>
      <c r="I28" s="3"/>
      <c r="J28" s="3"/>
      <c r="K28" s="246"/>
      <c r="L28" s="247"/>
      <c r="M28" s="3"/>
      <c r="N28" s="5"/>
    </row>
    <row r="29" spans="1:14" ht="15.75" thickBot="1">
      <c r="A29" s="297"/>
      <c r="B29" s="277" t="s">
        <v>33</v>
      </c>
      <c r="C29" s="277"/>
      <c r="D29" s="277"/>
      <c r="E29" s="243">
        <v>220</v>
      </c>
      <c r="F29" s="243">
        <v>150</v>
      </c>
      <c r="G29" s="73"/>
      <c r="H29" s="4">
        <f>1.2/100*150</f>
        <v>1.8</v>
      </c>
      <c r="I29" s="4">
        <v>0</v>
      </c>
      <c r="J29" s="4">
        <f>14/100*150</f>
        <v>21.000000000000004</v>
      </c>
      <c r="K29" s="244">
        <f>62/100*150</f>
        <v>93</v>
      </c>
      <c r="L29" s="247"/>
      <c r="M29" s="4">
        <f>7.5/100*150</f>
        <v>11.25</v>
      </c>
      <c r="N29" s="68"/>
    </row>
    <row r="30" spans="1:14" ht="15.75" thickBot="1">
      <c r="A30" s="297"/>
      <c r="B30" s="280" t="s">
        <v>48</v>
      </c>
      <c r="C30" s="281"/>
      <c r="D30" s="282"/>
      <c r="E30" s="243">
        <v>7</v>
      </c>
      <c r="F30" s="243">
        <v>7</v>
      </c>
      <c r="G30" s="73"/>
      <c r="H30" s="4">
        <f>0.4/100*7</f>
        <v>2.8000000000000001E-2</v>
      </c>
      <c r="I30" s="4">
        <f>78.5/100*7</f>
        <v>5.4950000000000001</v>
      </c>
      <c r="J30" s="4">
        <f>0.5/100*7</f>
        <v>3.5000000000000003E-2</v>
      </c>
      <c r="K30" s="244">
        <f>734/100*7</f>
        <v>51.379999999999995</v>
      </c>
      <c r="L30" s="247"/>
      <c r="M30" s="4">
        <f>0.6/100*7</f>
        <v>4.2000000000000003E-2</v>
      </c>
      <c r="N30" s="68"/>
    </row>
    <row r="31" spans="1:14" ht="15.75" thickBot="1">
      <c r="A31" s="297"/>
      <c r="B31" s="280" t="s">
        <v>46</v>
      </c>
      <c r="C31" s="281"/>
      <c r="D31" s="281"/>
      <c r="E31" s="243">
        <v>20</v>
      </c>
      <c r="F31" s="243">
        <v>20</v>
      </c>
      <c r="G31" s="242"/>
      <c r="H31" s="243">
        <f>2.8/100*20</f>
        <v>0.55999999999999994</v>
      </c>
      <c r="I31" s="243">
        <f>2.5/100*20</f>
        <v>0.5</v>
      </c>
      <c r="J31" s="243">
        <f>4.7/100*20</f>
        <v>0.94</v>
      </c>
      <c r="K31" s="218">
        <f>55/100*20</f>
        <v>11</v>
      </c>
      <c r="L31" s="238"/>
      <c r="M31" s="243">
        <f>1/100*20</f>
        <v>0.2</v>
      </c>
      <c r="N31" s="243"/>
    </row>
    <row r="32" spans="1:14" ht="15.75" thickBot="1">
      <c r="A32" s="297"/>
      <c r="B32" s="278" t="s">
        <v>143</v>
      </c>
      <c r="C32" s="279"/>
      <c r="D32" s="279"/>
      <c r="E32" s="220"/>
      <c r="F32" s="21"/>
      <c r="G32" s="66">
        <v>80</v>
      </c>
      <c r="H32" s="3"/>
      <c r="I32" s="3"/>
      <c r="J32" s="3"/>
      <c r="K32" s="246"/>
      <c r="L32" s="247"/>
      <c r="M32" s="3"/>
      <c r="N32" s="5"/>
    </row>
    <row r="33" spans="1:14" ht="15.75" thickBot="1">
      <c r="A33" s="297"/>
      <c r="B33" s="280" t="s">
        <v>91</v>
      </c>
      <c r="C33" s="281"/>
      <c r="D33" s="282"/>
      <c r="E33" s="243">
        <v>60</v>
      </c>
      <c r="F33" s="243">
        <v>60</v>
      </c>
      <c r="G33" s="4"/>
      <c r="H33" s="4">
        <f>18.9/100*60</f>
        <v>11.339999999999998</v>
      </c>
      <c r="I33" s="4">
        <f>12.4/100*60</f>
        <v>7.4399999999999995</v>
      </c>
      <c r="J33" s="4">
        <v>0</v>
      </c>
      <c r="K33" s="250">
        <f>187/100*60</f>
        <v>112.2</v>
      </c>
      <c r="L33" s="236"/>
      <c r="M33" s="4">
        <v>0</v>
      </c>
      <c r="N33" s="68"/>
    </row>
    <row r="34" spans="1:14" ht="15.75" thickBot="1">
      <c r="A34" s="297"/>
      <c r="B34" s="277" t="s">
        <v>144</v>
      </c>
      <c r="C34" s="277"/>
      <c r="D34" s="277"/>
      <c r="E34" s="243">
        <v>2.1</v>
      </c>
      <c r="F34" s="243">
        <v>2.1</v>
      </c>
      <c r="G34" s="4"/>
      <c r="H34" s="4">
        <v>0</v>
      </c>
      <c r="I34" s="4">
        <f>99.9/100*2</f>
        <v>1.9980000000000002</v>
      </c>
      <c r="J34" s="4">
        <v>0</v>
      </c>
      <c r="K34" s="244">
        <f>900/100*2</f>
        <v>18</v>
      </c>
      <c r="L34" s="247"/>
      <c r="M34" s="4">
        <v>0</v>
      </c>
      <c r="N34" s="68"/>
    </row>
    <row r="35" spans="1:14" ht="15.75" thickBot="1">
      <c r="A35" s="297"/>
      <c r="B35" s="280" t="s">
        <v>50</v>
      </c>
      <c r="C35" s="283"/>
      <c r="D35" s="284"/>
      <c r="E35" s="243">
        <v>5</v>
      </c>
      <c r="F35" s="243">
        <v>5</v>
      </c>
      <c r="G35" s="4"/>
      <c r="H35" s="4">
        <f>12.7/100*5</f>
        <v>0.63500000000000001</v>
      </c>
      <c r="I35" s="4">
        <f>11.5/100*5</f>
        <v>0.57500000000000007</v>
      </c>
      <c r="J35" s="4">
        <f>0.7/100*5</f>
        <v>3.4999999999999996E-2</v>
      </c>
      <c r="K35" s="244">
        <f>241/100*5</f>
        <v>12.05</v>
      </c>
      <c r="L35" s="247"/>
      <c r="M35" s="4">
        <v>0</v>
      </c>
      <c r="N35" s="68"/>
    </row>
    <row r="36" spans="1:14" ht="15.75" thickBot="1">
      <c r="A36" s="297"/>
      <c r="B36" s="277" t="s">
        <v>54</v>
      </c>
      <c r="C36" s="277"/>
      <c r="D36" s="277"/>
      <c r="E36" s="243">
        <v>10</v>
      </c>
      <c r="F36" s="243">
        <v>9.6</v>
      </c>
      <c r="G36" s="4"/>
      <c r="H36" s="4">
        <f>0.2/100*9.6</f>
        <v>1.9199999999999998E-2</v>
      </c>
      <c r="I36" s="4">
        <v>0</v>
      </c>
      <c r="J36" s="4">
        <f>10/100*9.6</f>
        <v>0.96</v>
      </c>
      <c r="K36" s="244">
        <f>42/100*9.6</f>
        <v>4.032</v>
      </c>
      <c r="L36" s="247"/>
      <c r="M36" s="4">
        <f>8.5/100*9.6</f>
        <v>0.81600000000000006</v>
      </c>
      <c r="N36" s="68"/>
    </row>
    <row r="37" spans="1:14" ht="15.75" thickBot="1">
      <c r="A37" s="297"/>
      <c r="B37" s="280" t="s">
        <v>68</v>
      </c>
      <c r="C37" s="281"/>
      <c r="D37" s="282"/>
      <c r="E37" s="243">
        <v>2</v>
      </c>
      <c r="F37" s="243">
        <v>2</v>
      </c>
      <c r="G37" s="4"/>
      <c r="H37" s="4">
        <f>6.5/100*2</f>
        <v>0.13</v>
      </c>
      <c r="I37" s="4">
        <f>0.5/100*2</f>
        <v>0.01</v>
      </c>
      <c r="J37" s="4">
        <f>29.9/100*2</f>
        <v>0.59799999999999998</v>
      </c>
      <c r="K37" s="250">
        <f>142/100*2</f>
        <v>2.84</v>
      </c>
      <c r="L37" s="236"/>
      <c r="M37" s="4">
        <f>31.2/100*2</f>
        <v>0.624</v>
      </c>
      <c r="N37" s="68"/>
    </row>
    <row r="38" spans="1:14" ht="15.75" thickBot="1">
      <c r="A38" s="297"/>
      <c r="B38" s="278" t="s">
        <v>145</v>
      </c>
      <c r="C38" s="279"/>
      <c r="D38" s="279"/>
      <c r="E38" s="279"/>
      <c r="F38" s="298"/>
      <c r="G38" s="137">
        <v>70</v>
      </c>
      <c r="H38" s="1"/>
      <c r="I38" s="1"/>
      <c r="J38" s="1"/>
      <c r="K38" s="248"/>
      <c r="L38" s="249"/>
      <c r="M38" s="1"/>
      <c r="N38" s="5"/>
    </row>
    <row r="39" spans="1:14" ht="15.75" thickBot="1">
      <c r="A39" s="297"/>
      <c r="B39" s="280" t="s">
        <v>48</v>
      </c>
      <c r="C39" s="283"/>
      <c r="D39" s="284"/>
      <c r="E39" s="15">
        <v>2</v>
      </c>
      <c r="F39" s="15">
        <v>2</v>
      </c>
      <c r="G39" s="5"/>
      <c r="H39" s="3">
        <f>0.4/100*2</f>
        <v>8.0000000000000002E-3</v>
      </c>
      <c r="I39" s="3">
        <f>78.5/100*2</f>
        <v>1.57</v>
      </c>
      <c r="J39" s="3">
        <f>0.5/100*2</f>
        <v>0.01</v>
      </c>
      <c r="K39" s="250">
        <f>734/100*2</f>
        <v>14.68</v>
      </c>
      <c r="L39" s="251"/>
      <c r="M39" s="3">
        <v>0</v>
      </c>
      <c r="N39" s="5"/>
    </row>
    <row r="40" spans="1:14" ht="15.75" thickBot="1">
      <c r="A40" s="297"/>
      <c r="B40" s="277" t="s">
        <v>60</v>
      </c>
      <c r="C40" s="277"/>
      <c r="D40" s="277"/>
      <c r="E40" s="15">
        <v>2</v>
      </c>
      <c r="F40" s="15">
        <v>2</v>
      </c>
      <c r="G40" s="3"/>
      <c r="H40" s="1">
        <v>0</v>
      </c>
      <c r="I40" s="1">
        <f>99.9/100*2</f>
        <v>1.9980000000000002</v>
      </c>
      <c r="J40" s="1">
        <v>0</v>
      </c>
      <c r="K40" s="250">
        <f>900/100*2</f>
        <v>18</v>
      </c>
      <c r="L40" s="251"/>
      <c r="M40" s="1">
        <v>0</v>
      </c>
      <c r="N40" s="5"/>
    </row>
    <row r="41" spans="1:14" ht="15.75" thickBot="1">
      <c r="A41" s="297"/>
      <c r="B41" s="277" t="s">
        <v>54</v>
      </c>
      <c r="C41" s="277"/>
      <c r="D41" s="277"/>
      <c r="E41" s="15">
        <v>7</v>
      </c>
      <c r="F41" s="15">
        <v>5</v>
      </c>
      <c r="G41" s="3"/>
      <c r="H41" s="3">
        <f>0.2/100*5</f>
        <v>0.01</v>
      </c>
      <c r="I41" s="3">
        <v>0</v>
      </c>
      <c r="J41" s="3">
        <f>10/100*5</f>
        <v>0.5</v>
      </c>
      <c r="K41" s="244">
        <f>42/100*5</f>
        <v>2.1</v>
      </c>
      <c r="L41" s="247"/>
      <c r="M41" s="3">
        <f>8.5/100*5</f>
        <v>0.42500000000000004</v>
      </c>
      <c r="N41" s="5"/>
    </row>
    <row r="42" spans="1:14" ht="15.75" thickBot="1">
      <c r="A42" s="297"/>
      <c r="B42" s="280" t="s">
        <v>55</v>
      </c>
      <c r="C42" s="281"/>
      <c r="D42" s="281"/>
      <c r="E42" s="15">
        <v>7</v>
      </c>
      <c r="F42" s="15">
        <v>5</v>
      </c>
      <c r="G42" s="3"/>
      <c r="H42" s="3">
        <f>1/100*5</f>
        <v>0.05</v>
      </c>
      <c r="I42" s="3">
        <v>0</v>
      </c>
      <c r="J42" s="3">
        <f>6.1/100*5</f>
        <v>0.30499999999999999</v>
      </c>
      <c r="K42" s="244">
        <f>29/100*5</f>
        <v>1.45</v>
      </c>
      <c r="L42" s="247"/>
      <c r="M42" s="3">
        <f>4/100*5</f>
        <v>0.2</v>
      </c>
      <c r="N42" s="5"/>
    </row>
    <row r="43" spans="1:14" ht="15.75" thickBot="1">
      <c r="A43" s="297"/>
      <c r="B43" s="237"/>
      <c r="C43" s="239" t="s">
        <v>51</v>
      </c>
      <c r="D43" s="241"/>
      <c r="E43" s="15">
        <v>12</v>
      </c>
      <c r="F43" s="15">
        <v>12</v>
      </c>
      <c r="G43" s="5"/>
      <c r="H43" s="3">
        <f>10.3/100*12</f>
        <v>1.2360000000000002</v>
      </c>
      <c r="I43" s="3">
        <f>1.1/100*12</f>
        <v>0.13200000000000001</v>
      </c>
      <c r="J43" s="3">
        <f>70.6/100*12</f>
        <v>8.4719999999999995</v>
      </c>
      <c r="K43" s="244">
        <f>334/100*12</f>
        <v>40.08</v>
      </c>
      <c r="L43" s="247"/>
      <c r="M43" s="3">
        <v>0</v>
      </c>
      <c r="N43" s="5"/>
    </row>
    <row r="44" spans="1:14" ht="15.75" thickBot="1">
      <c r="A44" s="297"/>
      <c r="B44" s="280" t="s">
        <v>78</v>
      </c>
      <c r="C44" s="283"/>
      <c r="D44" s="284"/>
      <c r="E44" s="15">
        <v>7</v>
      </c>
      <c r="F44" s="15">
        <v>7</v>
      </c>
      <c r="G44" s="5"/>
      <c r="H44" s="3">
        <f>2.2/100*7</f>
        <v>0.15400000000000003</v>
      </c>
      <c r="I44" s="3">
        <v>0</v>
      </c>
      <c r="J44" s="3">
        <f>15.8/100*7</f>
        <v>1.1060000000000001</v>
      </c>
      <c r="K44" s="244">
        <f>63.2/100*7</f>
        <v>4.4240000000000004</v>
      </c>
      <c r="L44" s="247"/>
      <c r="M44" s="3">
        <f>26/100*7</f>
        <v>1.82</v>
      </c>
      <c r="N44" s="5"/>
    </row>
    <row r="45" spans="1:14" ht="15.75" thickBot="1">
      <c r="A45" s="297"/>
      <c r="B45" s="277" t="s">
        <v>72</v>
      </c>
      <c r="C45" s="277"/>
      <c r="D45" s="277"/>
      <c r="E45" s="15">
        <v>3</v>
      </c>
      <c r="F45" s="15">
        <v>2.8</v>
      </c>
      <c r="G45" s="3"/>
      <c r="H45" s="1">
        <f>0.8/1400*2.8</f>
        <v>1.6000000000000001E-3</v>
      </c>
      <c r="I45" s="1">
        <v>0</v>
      </c>
      <c r="J45" s="1">
        <f>3.3/100*2.8</f>
        <v>9.2399999999999996E-2</v>
      </c>
      <c r="K45" s="250">
        <f>17/100*2.8</f>
        <v>0.47599999999999998</v>
      </c>
      <c r="L45" s="251"/>
      <c r="M45" s="1">
        <f>7.06/2</f>
        <v>3.53</v>
      </c>
      <c r="N45" s="5"/>
    </row>
    <row r="46" spans="1:14" ht="15.75" thickBot="1">
      <c r="A46" s="297"/>
      <c r="B46" s="278" t="s">
        <v>129</v>
      </c>
      <c r="C46" s="279"/>
      <c r="D46" s="279"/>
      <c r="E46" s="220"/>
      <c r="F46" s="21"/>
      <c r="G46" s="66">
        <v>50</v>
      </c>
      <c r="H46" s="3">
        <f>7/100*50</f>
        <v>3.5000000000000004</v>
      </c>
      <c r="I46" s="3">
        <f>1/100*50</f>
        <v>0.5</v>
      </c>
      <c r="J46" s="3">
        <f>46/100*50</f>
        <v>23</v>
      </c>
      <c r="K46" s="287">
        <f>200/100*50</f>
        <v>100</v>
      </c>
      <c r="L46" s="288"/>
      <c r="M46" s="3">
        <v>0</v>
      </c>
      <c r="N46" s="5"/>
    </row>
    <row r="47" spans="1:14" ht="15.75" thickBot="1">
      <c r="A47" s="297"/>
      <c r="B47" s="278" t="s">
        <v>40</v>
      </c>
      <c r="C47" s="279"/>
      <c r="D47" s="279"/>
      <c r="E47" s="164"/>
      <c r="F47" s="165"/>
      <c r="G47" s="66">
        <v>180</v>
      </c>
      <c r="H47" s="4"/>
      <c r="I47" s="4"/>
      <c r="J47" s="4"/>
      <c r="K47" s="86"/>
      <c r="L47" s="87"/>
      <c r="M47" s="4"/>
      <c r="N47" s="68"/>
    </row>
    <row r="48" spans="1:14" ht="15.75" thickBot="1">
      <c r="A48" s="297"/>
      <c r="B48" s="277" t="s">
        <v>41</v>
      </c>
      <c r="C48" s="277"/>
      <c r="D48" s="277"/>
      <c r="E48" s="75">
        <v>11</v>
      </c>
      <c r="F48" s="75">
        <v>16.5</v>
      </c>
      <c r="G48" s="73"/>
      <c r="H48" s="4">
        <f>0.63/100*16.5</f>
        <v>0.10395</v>
      </c>
      <c r="I48" s="4">
        <v>0</v>
      </c>
      <c r="J48" s="4">
        <f>10.06/100*16.5</f>
        <v>1.6599000000000002</v>
      </c>
      <c r="K48" s="84">
        <f>40.87/100*16.5</f>
        <v>6.743549999999999</v>
      </c>
      <c r="L48" s="200"/>
      <c r="M48" s="4">
        <f>0.46/100*16.5</f>
        <v>7.5899999999999995E-2</v>
      </c>
      <c r="N48" s="68"/>
    </row>
    <row r="49" spans="1:14" ht="15.75" thickBot="1">
      <c r="A49" s="297"/>
      <c r="B49" s="280" t="s">
        <v>24</v>
      </c>
      <c r="C49" s="281"/>
      <c r="D49" s="281"/>
      <c r="E49" s="75">
        <v>10</v>
      </c>
      <c r="F49" s="75">
        <v>10</v>
      </c>
      <c r="G49" s="66"/>
      <c r="H49" s="4">
        <v>0</v>
      </c>
      <c r="I49" s="4">
        <v>0</v>
      </c>
      <c r="J49" s="4">
        <f>100/100*10</f>
        <v>10</v>
      </c>
      <c r="K49" s="84">
        <f>400/100*10</f>
        <v>40</v>
      </c>
      <c r="L49" s="200"/>
      <c r="M49" s="4">
        <v>0</v>
      </c>
      <c r="N49" s="68"/>
    </row>
    <row r="50" spans="1:14" ht="15.75" thickBot="1">
      <c r="A50" s="296" t="s">
        <v>6</v>
      </c>
      <c r="B50" s="12" t="s">
        <v>146</v>
      </c>
      <c r="C50" s="13"/>
      <c r="D50" s="13"/>
      <c r="E50" s="164"/>
      <c r="F50" s="165"/>
      <c r="G50" s="66">
        <v>20</v>
      </c>
      <c r="H50" s="4">
        <f>8.5/100*20</f>
        <v>1.7000000000000002</v>
      </c>
      <c r="I50" s="4">
        <f>19/100*20</f>
        <v>3.8</v>
      </c>
      <c r="J50" s="4">
        <f>64/100*20</f>
        <v>12.8</v>
      </c>
      <c r="K50" s="84">
        <f>470/100*20</f>
        <v>94</v>
      </c>
      <c r="L50" s="200"/>
      <c r="M50" s="4">
        <v>0</v>
      </c>
      <c r="N50" s="68"/>
    </row>
    <row r="51" spans="1:14" ht="15.75" thickBot="1">
      <c r="A51" s="297"/>
      <c r="B51" s="278" t="s">
        <v>147</v>
      </c>
      <c r="C51" s="279"/>
      <c r="D51" s="279"/>
      <c r="E51" s="224"/>
      <c r="F51" s="225"/>
      <c r="G51" s="137">
        <v>180</v>
      </c>
      <c r="H51" s="3"/>
      <c r="I51" s="3"/>
      <c r="J51" s="3"/>
      <c r="K51" s="311"/>
      <c r="L51" s="312"/>
      <c r="M51" s="3"/>
      <c r="N51" s="5"/>
    </row>
    <row r="52" spans="1:14" ht="15.75" thickBot="1">
      <c r="A52" s="297"/>
      <c r="B52" s="280" t="s">
        <v>147</v>
      </c>
      <c r="C52" s="281"/>
      <c r="D52" s="282"/>
      <c r="E52" s="78">
        <v>20</v>
      </c>
      <c r="F52" s="78">
        <v>20</v>
      </c>
      <c r="G52" s="4"/>
      <c r="H52" s="4">
        <f>1/100*20</f>
        <v>0.2</v>
      </c>
      <c r="I52" s="4">
        <v>0</v>
      </c>
      <c r="J52" s="4">
        <f>95.5/100*20</f>
        <v>19.099999999999998</v>
      </c>
      <c r="K52" s="80">
        <f>382.4/100*20</f>
        <v>76.47999999999999</v>
      </c>
      <c r="L52" s="18"/>
      <c r="M52" s="4">
        <v>0</v>
      </c>
      <c r="N52" s="5"/>
    </row>
    <row r="53" spans="1:14" ht="15.75" thickBot="1">
      <c r="A53" s="306"/>
      <c r="B53" s="280" t="s">
        <v>24</v>
      </c>
      <c r="C53" s="283"/>
      <c r="D53" s="284"/>
      <c r="E53" s="78">
        <v>8</v>
      </c>
      <c r="F53" s="78">
        <v>8</v>
      </c>
      <c r="G53" s="68"/>
      <c r="H53" s="4">
        <v>0</v>
      </c>
      <c r="I53" s="4">
        <v>0</v>
      </c>
      <c r="J53" s="4">
        <f>100/100*8</f>
        <v>8</v>
      </c>
      <c r="K53" s="80">
        <f>400/100*8</f>
        <v>32</v>
      </c>
      <c r="L53" s="18"/>
      <c r="M53" s="4">
        <v>0</v>
      </c>
      <c r="N53" s="5"/>
    </row>
    <row r="54" spans="1:14" ht="15.75" thickBot="1">
      <c r="A54" s="293" t="s">
        <v>7</v>
      </c>
      <c r="B54" s="278" t="s">
        <v>148</v>
      </c>
      <c r="C54" s="279"/>
      <c r="D54" s="279"/>
      <c r="E54" s="239"/>
      <c r="F54" s="238"/>
      <c r="G54" s="137">
        <v>100</v>
      </c>
      <c r="H54" s="4"/>
      <c r="I54" s="4"/>
      <c r="J54" s="4"/>
      <c r="K54" s="285"/>
      <c r="L54" s="286"/>
      <c r="M54" s="4"/>
      <c r="N54" s="68"/>
    </row>
    <row r="55" spans="1:14" ht="15.75" thickBot="1">
      <c r="A55" s="294"/>
      <c r="B55" s="280" t="s">
        <v>48</v>
      </c>
      <c r="C55" s="281"/>
      <c r="D55" s="281"/>
      <c r="E55" s="243">
        <v>3</v>
      </c>
      <c r="F55" s="243">
        <v>3</v>
      </c>
      <c r="G55" s="4"/>
      <c r="H55" s="4">
        <f>0.4/100*3</f>
        <v>1.2E-2</v>
      </c>
      <c r="I55" s="4">
        <f>78.5/100*3</f>
        <v>2.355</v>
      </c>
      <c r="J55" s="4">
        <f>0.5/100*3</f>
        <v>1.4999999999999999E-2</v>
      </c>
      <c r="K55" s="250">
        <f>734/100*3</f>
        <v>22.02</v>
      </c>
      <c r="L55" s="236"/>
      <c r="M55" s="4">
        <v>0</v>
      </c>
      <c r="N55" s="68"/>
    </row>
    <row r="56" spans="1:14" ht="15.75" thickBot="1">
      <c r="A56" s="294"/>
      <c r="B56" s="277" t="s">
        <v>50</v>
      </c>
      <c r="C56" s="277"/>
      <c r="D56" s="277"/>
      <c r="E56" s="243">
        <v>60</v>
      </c>
      <c r="F56" s="243">
        <v>60</v>
      </c>
      <c r="G56" s="4"/>
      <c r="H56" s="4">
        <f>12.7/100*60</f>
        <v>7.62</v>
      </c>
      <c r="I56" s="4">
        <f>11.5/100*60</f>
        <v>6.9</v>
      </c>
      <c r="J56" s="4">
        <f>0.7/100*60</f>
        <v>0.41999999999999993</v>
      </c>
      <c r="K56" s="244">
        <f>241/100*60</f>
        <v>144.60000000000002</v>
      </c>
      <c r="L56" s="247"/>
      <c r="M56" s="4">
        <v>0</v>
      </c>
      <c r="N56" s="68"/>
    </row>
    <row r="57" spans="1:14" ht="15.75" thickBot="1">
      <c r="A57" s="294"/>
      <c r="B57" s="280" t="s">
        <v>46</v>
      </c>
      <c r="C57" s="281"/>
      <c r="D57" s="281"/>
      <c r="E57" s="243">
        <v>60</v>
      </c>
      <c r="F57" s="243">
        <v>60</v>
      </c>
      <c r="G57" s="243"/>
      <c r="H57" s="243">
        <f>2.8/100*60</f>
        <v>1.6799999999999997</v>
      </c>
      <c r="I57" s="243">
        <f>22.5/100*60</f>
        <v>13.5</v>
      </c>
      <c r="J57" s="243">
        <f>4.7/100*60</f>
        <v>2.82</v>
      </c>
      <c r="K57" s="218">
        <f>55/100*60</f>
        <v>33</v>
      </c>
      <c r="L57" s="238"/>
      <c r="M57" s="243">
        <f>1/100*60</f>
        <v>0.6</v>
      </c>
      <c r="N57" s="243"/>
    </row>
    <row r="58" spans="1:14" ht="15.75" thickBot="1">
      <c r="A58" s="313"/>
      <c r="B58" s="278" t="s">
        <v>207</v>
      </c>
      <c r="C58" s="279"/>
      <c r="D58" s="279"/>
      <c r="E58" s="198"/>
      <c r="F58" s="199"/>
      <c r="G58" s="70">
        <v>30</v>
      </c>
      <c r="H58" s="3">
        <f>7/100*30</f>
        <v>2.1</v>
      </c>
      <c r="I58" s="3">
        <f>1/100*30</f>
        <v>0.3</v>
      </c>
      <c r="J58" s="3">
        <f>47/100*30</f>
        <v>14.1</v>
      </c>
      <c r="K58" s="287">
        <f>230/100*30</f>
        <v>69</v>
      </c>
      <c r="L58" s="288"/>
      <c r="M58" s="4">
        <v>0</v>
      </c>
      <c r="N58" s="5"/>
    </row>
    <row r="59" spans="1:14" ht="15.75" thickBot="1">
      <c r="A59" s="294"/>
      <c r="B59" s="278" t="s">
        <v>149</v>
      </c>
      <c r="C59" s="279"/>
      <c r="D59" s="279"/>
      <c r="E59" s="164"/>
      <c r="F59" s="165"/>
      <c r="G59" s="183">
        <v>180</v>
      </c>
      <c r="H59" s="75"/>
      <c r="I59" s="75"/>
      <c r="J59" s="75"/>
      <c r="K59" s="287"/>
      <c r="L59" s="288"/>
      <c r="M59" s="75"/>
      <c r="N59" s="68"/>
    </row>
    <row r="60" spans="1:14" ht="15.75" thickBot="1">
      <c r="A60" s="294"/>
      <c r="B60" s="277" t="s">
        <v>62</v>
      </c>
      <c r="C60" s="277"/>
      <c r="D60" s="277"/>
      <c r="E60" s="75">
        <v>0.6</v>
      </c>
      <c r="F60" s="75">
        <v>0.6</v>
      </c>
      <c r="G60" s="75"/>
      <c r="H60" s="4">
        <f>20/100*0.6</f>
        <v>0.12</v>
      </c>
      <c r="I60" s="4">
        <v>0</v>
      </c>
      <c r="J60" s="4">
        <f>6.9/100*0.6</f>
        <v>4.1399999999999999E-2</v>
      </c>
      <c r="K60" s="179">
        <f>109/100*0.6</f>
        <v>0.65400000000000003</v>
      </c>
      <c r="L60" s="18"/>
      <c r="M60" s="4">
        <f>10/100*0.6</f>
        <v>0.06</v>
      </c>
      <c r="N60" s="75"/>
    </row>
    <row r="61" spans="1:14" ht="15.75" thickBot="1">
      <c r="A61" s="294"/>
      <c r="B61" s="23"/>
      <c r="C61" s="31" t="s">
        <v>47</v>
      </c>
      <c r="D61" s="31"/>
      <c r="E61" s="75">
        <v>8</v>
      </c>
      <c r="F61" s="75">
        <v>8</v>
      </c>
      <c r="G61" s="75"/>
      <c r="H61" s="4">
        <v>0</v>
      </c>
      <c r="I61" s="4">
        <v>0</v>
      </c>
      <c r="J61" s="4">
        <f>100/100*8</f>
        <v>8</v>
      </c>
      <c r="K61" s="179">
        <f>400/100*8</f>
        <v>32</v>
      </c>
      <c r="L61" s="18"/>
      <c r="M61" s="4">
        <v>0</v>
      </c>
      <c r="N61" s="68"/>
    </row>
    <row r="62" spans="1:14" ht="15.75" thickBot="1">
      <c r="A62" s="295"/>
      <c r="B62" s="277"/>
      <c r="C62" s="277"/>
      <c r="D62" s="277"/>
      <c r="E62" s="75"/>
      <c r="F62" s="75"/>
      <c r="G62" s="75"/>
      <c r="H62" s="4">
        <f>SUM(H8:H61)</f>
        <v>48.076749999999997</v>
      </c>
      <c r="I62" s="4">
        <f>SUM(I8:I61)</f>
        <v>62.832999999999984</v>
      </c>
      <c r="J62" s="4">
        <f>SUM(J8:J61)</f>
        <v>208.30309999999997</v>
      </c>
      <c r="K62" s="223">
        <f>SUM(K8:K61)</f>
        <v>1547.2335499999999</v>
      </c>
      <c r="L62" s="76"/>
      <c r="M62" s="4">
        <f>SUM(M8:M61)</f>
        <v>27.119900000000001</v>
      </c>
      <c r="N62" s="75"/>
    </row>
    <row r="63" spans="1:14">
      <c r="A63" s="59"/>
    </row>
    <row r="64" spans="1:14" ht="15.75" hidden="1" customHeight="1" thickBot="1">
      <c r="A64" s="63"/>
    </row>
  </sheetData>
  <mergeCells count="72">
    <mergeCell ref="B16:D16"/>
    <mergeCell ref="K16:L16"/>
    <mergeCell ref="B17:D17"/>
    <mergeCell ref="B18:D18"/>
    <mergeCell ref="B46:D46"/>
    <mergeCell ref="B25:D25"/>
    <mergeCell ref="B32:D32"/>
    <mergeCell ref="B33:D33"/>
    <mergeCell ref="B34:D34"/>
    <mergeCell ref="B35:D35"/>
    <mergeCell ref="B38:F38"/>
    <mergeCell ref="M4:M5"/>
    <mergeCell ref="N4:N5"/>
    <mergeCell ref="G4:G5"/>
    <mergeCell ref="H4:J4"/>
    <mergeCell ref="K4:L5"/>
    <mergeCell ref="A50:A53"/>
    <mergeCell ref="A54:A62"/>
    <mergeCell ref="B23:D23"/>
    <mergeCell ref="A4:A5"/>
    <mergeCell ref="B4:D5"/>
    <mergeCell ref="A7:A18"/>
    <mergeCell ref="B7:F7"/>
    <mergeCell ref="B8:D8"/>
    <mergeCell ref="B9:D9"/>
    <mergeCell ref="B12:D12"/>
    <mergeCell ref="B13:D13"/>
    <mergeCell ref="B15:D15"/>
    <mergeCell ref="B10:D10"/>
    <mergeCell ref="B11:D11"/>
    <mergeCell ref="E4:F4"/>
    <mergeCell ref="B60:D60"/>
    <mergeCell ref="A19:A49"/>
    <mergeCell ref="B27:D27"/>
    <mergeCell ref="B44:D44"/>
    <mergeCell ref="B45:D45"/>
    <mergeCell ref="B48:D48"/>
    <mergeCell ref="B20:D20"/>
    <mergeCell ref="B21:D21"/>
    <mergeCell ref="B22:D22"/>
    <mergeCell ref="B24:D24"/>
    <mergeCell ref="B26:D26"/>
    <mergeCell ref="B29:D29"/>
    <mergeCell ref="B30:D30"/>
    <mergeCell ref="B31:D31"/>
    <mergeCell ref="B19:F19"/>
    <mergeCell ref="B49:D49"/>
    <mergeCell ref="B47:D47"/>
    <mergeCell ref="K59:L59"/>
    <mergeCell ref="B14:D14"/>
    <mergeCell ref="B62:D62"/>
    <mergeCell ref="B59:D59"/>
    <mergeCell ref="B51:D51"/>
    <mergeCell ref="B28:D28"/>
    <mergeCell ref="B36:D36"/>
    <mergeCell ref="B37:D37"/>
    <mergeCell ref="B39:D39"/>
    <mergeCell ref="B40:D40"/>
    <mergeCell ref="B41:D41"/>
    <mergeCell ref="B42:D42"/>
    <mergeCell ref="K51:L51"/>
    <mergeCell ref="B52:D52"/>
    <mergeCell ref="B58:D58"/>
    <mergeCell ref="K19:L19"/>
    <mergeCell ref="K46:L46"/>
    <mergeCell ref="K58:L58"/>
    <mergeCell ref="B54:D54"/>
    <mergeCell ref="K54:L54"/>
    <mergeCell ref="B55:D55"/>
    <mergeCell ref="B56:D56"/>
    <mergeCell ref="B57:D57"/>
    <mergeCell ref="B53:D53"/>
  </mergeCells>
  <pageMargins left="0.31496062992125984" right="0.11811023622047245" top="0.74803149606299213" bottom="0.74803149606299213" header="0.31496062992125984" footer="0.31496062992125984"/>
  <pageSetup paperSize="9" scale="69" orientation="portrait" verticalDpi="0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Q64"/>
  <sheetViews>
    <sheetView zoomScaleNormal="100" workbookViewId="0">
      <pane ySplit="6" topLeftCell="A7" activePane="bottomLeft" state="frozen"/>
      <selection pane="bottomLeft" activeCell="O59" sqref="O59"/>
    </sheetView>
  </sheetViews>
  <sheetFormatPr defaultRowHeight="15"/>
  <cols>
    <col min="1" max="1" width="12.85546875" customWidth="1"/>
    <col min="5" max="9" width="9.28515625" bestFit="1" customWidth="1"/>
    <col min="10" max="11" width="10.140625" bestFit="1" customWidth="1"/>
    <col min="12" max="12" width="2.5703125" customWidth="1"/>
    <col min="13" max="13" width="9.28515625" bestFit="1" customWidth="1"/>
  </cols>
  <sheetData>
    <row r="2" spans="1:14" ht="21">
      <c r="F2" s="50" t="s">
        <v>97</v>
      </c>
    </row>
    <row r="3" spans="1:14" ht="15.75" thickBot="1"/>
    <row r="4" spans="1:14" ht="15.75" customHeight="1" thickBot="1">
      <c r="A4" s="293" t="s">
        <v>8</v>
      </c>
      <c r="B4" s="299" t="s">
        <v>9</v>
      </c>
      <c r="C4" s="300"/>
      <c r="D4" s="300"/>
      <c r="E4" s="303" t="s">
        <v>29</v>
      </c>
      <c r="F4" s="304"/>
      <c r="G4" s="289" t="s">
        <v>10</v>
      </c>
      <c r="H4" s="305" t="s">
        <v>11</v>
      </c>
      <c r="I4" s="305"/>
      <c r="J4" s="305"/>
      <c r="K4" s="289" t="s">
        <v>93</v>
      </c>
      <c r="L4" s="289"/>
      <c r="M4" s="289" t="s">
        <v>16</v>
      </c>
      <c r="N4" s="289" t="s">
        <v>17</v>
      </c>
    </row>
    <row r="5" spans="1:14" ht="15.75" thickBot="1">
      <c r="A5" s="295"/>
      <c r="B5" s="301"/>
      <c r="C5" s="302"/>
      <c r="D5" s="302"/>
      <c r="E5" s="184" t="s">
        <v>30</v>
      </c>
      <c r="F5" s="184" t="s">
        <v>31</v>
      </c>
      <c r="G5" s="290"/>
      <c r="H5" s="185" t="s">
        <v>12</v>
      </c>
      <c r="I5" s="185" t="s">
        <v>13</v>
      </c>
      <c r="J5" s="185" t="s">
        <v>14</v>
      </c>
      <c r="K5" s="290"/>
      <c r="L5" s="290"/>
      <c r="M5" s="290"/>
      <c r="N5" s="290"/>
    </row>
    <row r="6" spans="1:14" ht="15.75" thickBot="1">
      <c r="A6" s="2" t="s">
        <v>19</v>
      </c>
      <c r="B6" s="189"/>
      <c r="C6" s="190"/>
      <c r="D6" s="190"/>
      <c r="E6" s="190"/>
      <c r="F6" s="190"/>
      <c r="G6" s="190"/>
      <c r="H6" s="191">
        <f>H62</f>
        <v>57.088549999999998</v>
      </c>
      <c r="I6" s="191">
        <f t="shared" ref="I6:M6" si="0">I62</f>
        <v>78.237999999999985</v>
      </c>
      <c r="J6" s="191">
        <f t="shared" si="0"/>
        <v>249.98970000000006</v>
      </c>
      <c r="K6" s="191">
        <f t="shared" si="0"/>
        <v>1810.8995499999999</v>
      </c>
      <c r="L6" s="191"/>
      <c r="M6" s="191">
        <f t="shared" si="0"/>
        <v>34.642899999999997</v>
      </c>
      <c r="N6" s="194"/>
    </row>
    <row r="7" spans="1:14" ht="15.75" thickBot="1">
      <c r="A7" s="296" t="s">
        <v>4</v>
      </c>
      <c r="B7" s="278" t="s">
        <v>20</v>
      </c>
      <c r="C7" s="279"/>
      <c r="D7" s="279"/>
      <c r="E7" s="279"/>
      <c r="F7" s="298"/>
      <c r="G7" s="183">
        <v>200</v>
      </c>
      <c r="H7" s="168"/>
      <c r="I7" s="168"/>
      <c r="J7" s="168"/>
      <c r="K7" s="7"/>
      <c r="L7" s="8"/>
      <c r="M7" s="168"/>
      <c r="N7" s="183">
        <v>168</v>
      </c>
    </row>
    <row r="8" spans="1:14" ht="15.75" thickBot="1">
      <c r="A8" s="297"/>
      <c r="B8" s="280" t="s">
        <v>21</v>
      </c>
      <c r="C8" s="281"/>
      <c r="D8" s="281"/>
      <c r="E8" s="168">
        <v>25</v>
      </c>
      <c r="F8" s="168">
        <v>25</v>
      </c>
      <c r="G8" s="183"/>
      <c r="H8" s="168">
        <v>2.5750000000000002</v>
      </c>
      <c r="I8" s="168">
        <f>1/100*25</f>
        <v>0.25</v>
      </c>
      <c r="J8" s="15">
        <f>68/100*25</f>
        <v>17</v>
      </c>
      <c r="K8" s="89">
        <f>328/100*25</f>
        <v>82</v>
      </c>
      <c r="L8" s="8"/>
      <c r="M8" s="168">
        <v>0</v>
      </c>
      <c r="N8" s="168"/>
    </row>
    <row r="9" spans="1:14" ht="15.75" thickBot="1">
      <c r="A9" s="297"/>
      <c r="B9" s="280" t="s">
        <v>22</v>
      </c>
      <c r="C9" s="281"/>
      <c r="D9" s="281"/>
      <c r="E9" s="168">
        <v>120</v>
      </c>
      <c r="F9" s="168">
        <v>120</v>
      </c>
      <c r="G9" s="183"/>
      <c r="H9" s="168">
        <f>2.8/100*120</f>
        <v>3.3599999999999994</v>
      </c>
      <c r="I9" s="168">
        <f>22.5/100*120</f>
        <v>27</v>
      </c>
      <c r="J9" s="15">
        <f>4.7/100*120</f>
        <v>5.64</v>
      </c>
      <c r="K9" s="89">
        <f>55/100*150</f>
        <v>82.5</v>
      </c>
      <c r="L9" s="8"/>
      <c r="M9" s="168">
        <f>1/100*120</f>
        <v>1.2</v>
      </c>
      <c r="N9" s="168"/>
    </row>
    <row r="10" spans="1:14" ht="15.75" thickBot="1">
      <c r="A10" s="297"/>
      <c r="B10" s="280" t="s">
        <v>23</v>
      </c>
      <c r="C10" s="281"/>
      <c r="D10" s="281"/>
      <c r="E10" s="168">
        <v>5</v>
      </c>
      <c r="F10" s="168">
        <v>5</v>
      </c>
      <c r="G10" s="183"/>
      <c r="H10" s="168">
        <f>0.4/100*5</f>
        <v>0.02</v>
      </c>
      <c r="I10" s="168">
        <f>78.5/100*5</f>
        <v>3.9250000000000003</v>
      </c>
      <c r="J10" s="15">
        <f>0.5/100*5</f>
        <v>2.5000000000000001E-2</v>
      </c>
      <c r="K10" s="89">
        <f>734/100*5</f>
        <v>36.700000000000003</v>
      </c>
      <c r="L10" s="8"/>
      <c r="M10" s="168">
        <f>0.6/100*5</f>
        <v>0.03</v>
      </c>
      <c r="N10" s="168"/>
    </row>
    <row r="11" spans="1:14" ht="15.75" thickBot="1">
      <c r="A11" s="297"/>
      <c r="B11" s="280" t="s">
        <v>24</v>
      </c>
      <c r="C11" s="281"/>
      <c r="D11" s="281"/>
      <c r="E11" s="168">
        <v>5</v>
      </c>
      <c r="F11" s="168">
        <v>5</v>
      </c>
      <c r="G11" s="183"/>
      <c r="H11" s="168">
        <v>0</v>
      </c>
      <c r="I11" s="168">
        <v>0</v>
      </c>
      <c r="J11" s="15">
        <f>100/100*5</f>
        <v>5</v>
      </c>
      <c r="K11" s="175">
        <f>400/100*5</f>
        <v>20</v>
      </c>
      <c r="L11" s="165"/>
      <c r="M11" s="168">
        <v>0</v>
      </c>
      <c r="N11" s="168"/>
    </row>
    <row r="12" spans="1:14" ht="15.75" thickBot="1">
      <c r="A12" s="297"/>
      <c r="B12" s="278" t="s">
        <v>207</v>
      </c>
      <c r="C12" s="279"/>
      <c r="D12" s="279"/>
      <c r="E12" s="239"/>
      <c r="F12" s="238"/>
      <c r="G12" s="242">
        <v>30</v>
      </c>
      <c r="H12" s="243">
        <f>7/100*30</f>
        <v>2.1</v>
      </c>
      <c r="I12" s="243">
        <f>1/100*30</f>
        <v>0.3</v>
      </c>
      <c r="J12" s="243">
        <f>47/100*30</f>
        <v>14.1</v>
      </c>
      <c r="K12" s="250">
        <f>230/100*30</f>
        <v>69</v>
      </c>
      <c r="L12" s="236"/>
      <c r="M12" s="243">
        <v>0</v>
      </c>
      <c r="N12" s="85"/>
    </row>
    <row r="13" spans="1:14" ht="15.75" thickBot="1">
      <c r="A13" s="297"/>
      <c r="B13" s="278" t="s">
        <v>189</v>
      </c>
      <c r="C13" s="279"/>
      <c r="D13" s="279"/>
      <c r="E13" s="239"/>
      <c r="F13" s="238"/>
      <c r="G13" s="242">
        <v>6</v>
      </c>
      <c r="H13" s="4">
        <f>21.5/100*6</f>
        <v>1.29</v>
      </c>
      <c r="I13" s="4">
        <f>22.5/100*6</f>
        <v>1.35</v>
      </c>
      <c r="J13" s="4">
        <v>0</v>
      </c>
      <c r="K13" s="250">
        <f>288/100*6</f>
        <v>17.28</v>
      </c>
      <c r="L13" s="251"/>
      <c r="M13" s="4">
        <v>0</v>
      </c>
      <c r="N13" s="5"/>
    </row>
    <row r="14" spans="1:14" ht="15.75" thickBot="1">
      <c r="A14" s="297"/>
      <c r="B14" s="12" t="s">
        <v>183</v>
      </c>
      <c r="C14" s="13"/>
      <c r="D14" s="13"/>
      <c r="E14" s="239"/>
      <c r="F14" s="238"/>
      <c r="G14" s="66">
        <v>180</v>
      </c>
      <c r="H14" s="4"/>
      <c r="I14" s="4"/>
      <c r="J14" s="4"/>
      <c r="K14" s="246"/>
      <c r="L14" s="247"/>
      <c r="M14" s="4"/>
      <c r="N14" s="68"/>
    </row>
    <row r="15" spans="1:14" ht="15.75" thickBot="1">
      <c r="A15" s="297"/>
      <c r="B15" s="314" t="s">
        <v>62</v>
      </c>
      <c r="C15" s="314"/>
      <c r="D15" s="314"/>
      <c r="E15" s="243">
        <v>0.6</v>
      </c>
      <c r="F15" s="243">
        <v>0.6</v>
      </c>
      <c r="G15" s="243"/>
      <c r="H15" s="4">
        <f>20/100*0.6</f>
        <v>0.12</v>
      </c>
      <c r="I15" s="4">
        <v>0</v>
      </c>
      <c r="J15" s="4">
        <f>6.9/100*0.6</f>
        <v>4.1399999999999999E-2</v>
      </c>
      <c r="K15" s="250">
        <f>109/100*0.6</f>
        <v>0.65400000000000003</v>
      </c>
      <c r="L15" s="251"/>
      <c r="M15" s="4">
        <f>10/100*0.6</f>
        <v>0.06</v>
      </c>
      <c r="N15" s="243"/>
    </row>
    <row r="16" spans="1:14" ht="15.75" thickBot="1">
      <c r="A16" s="297"/>
      <c r="B16" s="44"/>
      <c r="C16" s="219" t="s">
        <v>46</v>
      </c>
      <c r="D16" s="219"/>
      <c r="E16" s="243">
        <v>50</v>
      </c>
      <c r="F16" s="243">
        <v>50</v>
      </c>
      <c r="G16" s="68"/>
      <c r="H16" s="4">
        <f>2.8/100*50</f>
        <v>1.4</v>
      </c>
      <c r="I16" s="4">
        <f>2.5/100*50</f>
        <v>1.25</v>
      </c>
      <c r="J16" s="4">
        <f>4.7/100*50</f>
        <v>2.35</v>
      </c>
      <c r="K16" s="250">
        <f>55/100*50</f>
        <v>27.500000000000004</v>
      </c>
      <c r="L16" s="236"/>
      <c r="M16" s="4">
        <f>1/100*50</f>
        <v>0.5</v>
      </c>
      <c r="N16" s="68"/>
    </row>
    <row r="17" spans="1:14" ht="15.75" thickBot="1">
      <c r="A17" s="297"/>
      <c r="B17" s="237"/>
      <c r="C17" s="239" t="s">
        <v>47</v>
      </c>
      <c r="D17" s="241"/>
      <c r="E17" s="243">
        <v>5</v>
      </c>
      <c r="F17" s="243">
        <v>5</v>
      </c>
      <c r="G17" s="5"/>
      <c r="H17" s="243">
        <f>0.4/100*5</f>
        <v>0.02</v>
      </c>
      <c r="I17" s="243">
        <f>78.5/100*5</f>
        <v>3.9250000000000003</v>
      </c>
      <c r="J17" s="243">
        <f>0.5/100*5</f>
        <v>2.5000000000000001E-2</v>
      </c>
      <c r="K17" s="218">
        <f>734/100*5</f>
        <v>36.700000000000003</v>
      </c>
      <c r="L17" s="238"/>
      <c r="M17" s="243">
        <f>0.6/100*5</f>
        <v>0.03</v>
      </c>
      <c r="N17" s="5"/>
    </row>
    <row r="18" spans="1:14" ht="15.75" thickBot="1">
      <c r="A18" s="36" t="s">
        <v>18</v>
      </c>
      <c r="B18" s="278" t="s">
        <v>256</v>
      </c>
      <c r="C18" s="279"/>
      <c r="D18" s="279"/>
      <c r="E18" s="239"/>
      <c r="F18" s="238"/>
      <c r="G18" s="137">
        <v>100</v>
      </c>
      <c r="H18" s="4">
        <f>0.4/100*G18</f>
        <v>0.4</v>
      </c>
      <c r="I18" s="4">
        <v>0</v>
      </c>
      <c r="J18" s="4">
        <f>11.7/100*G18</f>
        <v>11.7</v>
      </c>
      <c r="K18" s="250">
        <f>50/100*G18</f>
        <v>50</v>
      </c>
      <c r="L18" s="251"/>
      <c r="M18" s="4">
        <v>0</v>
      </c>
      <c r="N18" s="5"/>
    </row>
    <row r="19" spans="1:14" ht="15.75" thickBot="1">
      <c r="A19" s="296" t="s">
        <v>5</v>
      </c>
      <c r="B19" s="278" t="s">
        <v>153</v>
      </c>
      <c r="C19" s="279"/>
      <c r="D19" s="279"/>
      <c r="E19" s="279"/>
      <c r="F19" s="298"/>
      <c r="G19" s="66">
        <v>50</v>
      </c>
      <c r="H19" s="3"/>
      <c r="I19" s="3"/>
      <c r="J19" s="3"/>
      <c r="K19" s="287"/>
      <c r="L19" s="288"/>
      <c r="M19" s="3"/>
      <c r="N19" s="5"/>
    </row>
    <row r="20" spans="1:14" ht="15.75" thickBot="1">
      <c r="A20" s="297"/>
      <c r="B20" s="277" t="s">
        <v>33</v>
      </c>
      <c r="C20" s="277"/>
      <c r="D20" s="277"/>
      <c r="E20" s="15">
        <v>60</v>
      </c>
      <c r="F20" s="15">
        <v>50</v>
      </c>
      <c r="G20" s="73"/>
      <c r="H20" s="3">
        <f>1.2/100*50</f>
        <v>0.6</v>
      </c>
      <c r="I20" s="3">
        <v>0</v>
      </c>
      <c r="J20" s="3">
        <f>14/100*50</f>
        <v>7.0000000000000009</v>
      </c>
      <c r="K20" s="250">
        <f>62/100*50</f>
        <v>31</v>
      </c>
      <c r="L20" s="251"/>
      <c r="M20" s="3">
        <f>7.5/100*50</f>
        <v>3.75</v>
      </c>
      <c r="N20" s="5"/>
    </row>
    <row r="21" spans="1:14" ht="15.75" thickBot="1">
      <c r="A21" s="297"/>
      <c r="B21" s="277" t="s">
        <v>209</v>
      </c>
      <c r="C21" s="277"/>
      <c r="D21" s="277"/>
      <c r="E21" s="15">
        <v>12</v>
      </c>
      <c r="F21" s="15">
        <v>10</v>
      </c>
      <c r="G21" s="73"/>
      <c r="H21" s="3">
        <f>6.5/100*10</f>
        <v>0.65</v>
      </c>
      <c r="I21" s="3">
        <f>0.5/100*10</f>
        <v>0.05</v>
      </c>
      <c r="J21" s="3">
        <f>29.9/100*10</f>
        <v>2.9899999999999998</v>
      </c>
      <c r="K21" s="244">
        <f>142/100*10</f>
        <v>14.2</v>
      </c>
      <c r="L21" s="247"/>
      <c r="M21" s="3">
        <f>31.2/100*10</f>
        <v>3.12</v>
      </c>
      <c r="N21" s="5"/>
    </row>
    <row r="22" spans="1:14" ht="15.75" thickBot="1">
      <c r="A22" s="297"/>
      <c r="B22" s="280" t="s">
        <v>214</v>
      </c>
      <c r="C22" s="281"/>
      <c r="D22" s="282"/>
      <c r="E22" s="15">
        <v>6</v>
      </c>
      <c r="F22" s="15">
        <v>5.6</v>
      </c>
      <c r="G22" s="73"/>
      <c r="H22" s="3">
        <f>0.8/100*3</f>
        <v>2.4E-2</v>
      </c>
      <c r="I22" s="3">
        <v>0</v>
      </c>
      <c r="J22" s="3">
        <f>3.3/100*3</f>
        <v>9.9000000000000005E-2</v>
      </c>
      <c r="K22" s="244">
        <f>17/100*3</f>
        <v>0.51</v>
      </c>
      <c r="L22" s="247"/>
      <c r="M22" s="3">
        <f>48/100*3</f>
        <v>1.44</v>
      </c>
      <c r="N22" s="5"/>
    </row>
    <row r="23" spans="1:14" ht="15.75" thickBot="1">
      <c r="A23" s="297"/>
      <c r="B23" s="277" t="s">
        <v>60</v>
      </c>
      <c r="C23" s="277"/>
      <c r="D23" s="277"/>
      <c r="E23" s="15">
        <v>3</v>
      </c>
      <c r="F23" s="15">
        <v>3</v>
      </c>
      <c r="G23" s="73"/>
      <c r="H23" s="1">
        <v>0</v>
      </c>
      <c r="I23" s="1">
        <f>99.9/100*3</f>
        <v>2.9970000000000003</v>
      </c>
      <c r="J23" s="1">
        <v>0</v>
      </c>
      <c r="K23" s="250">
        <f>900/100*3</f>
        <v>27</v>
      </c>
      <c r="L23" s="251"/>
      <c r="M23" s="1">
        <v>0</v>
      </c>
      <c r="N23" s="5"/>
    </row>
    <row r="24" spans="1:14" ht="15.75" thickBot="1">
      <c r="A24" s="297"/>
      <c r="B24" s="278" t="s">
        <v>77</v>
      </c>
      <c r="C24" s="279"/>
      <c r="D24" s="279"/>
      <c r="E24" s="220"/>
      <c r="F24" s="21"/>
      <c r="G24" s="137">
        <v>250</v>
      </c>
      <c r="H24" s="3"/>
      <c r="I24" s="3"/>
      <c r="J24" s="3"/>
      <c r="K24" s="246"/>
      <c r="L24" s="247"/>
      <c r="M24" s="3"/>
      <c r="N24" s="5"/>
    </row>
    <row r="25" spans="1:14" ht="15.75" thickBot="1">
      <c r="A25" s="297"/>
      <c r="B25" s="277" t="s">
        <v>235</v>
      </c>
      <c r="C25" s="277"/>
      <c r="D25" s="277"/>
      <c r="E25" s="15">
        <v>20</v>
      </c>
      <c r="F25" s="15">
        <v>20</v>
      </c>
      <c r="G25" s="142"/>
      <c r="H25" s="3">
        <f>18.9/100*20</f>
        <v>3.7799999999999994</v>
      </c>
      <c r="I25" s="3">
        <v>2.48</v>
      </c>
      <c r="J25" s="3">
        <v>0</v>
      </c>
      <c r="K25" s="250">
        <v>37.4</v>
      </c>
      <c r="L25" s="236"/>
      <c r="M25" s="3">
        <v>0</v>
      </c>
      <c r="N25" s="5"/>
    </row>
    <row r="26" spans="1:14" ht="15.75" thickBot="1">
      <c r="A26" s="297"/>
      <c r="B26" s="277" t="s">
        <v>209</v>
      </c>
      <c r="C26" s="277"/>
      <c r="D26" s="277"/>
      <c r="E26" s="15">
        <v>7</v>
      </c>
      <c r="F26" s="15">
        <v>5</v>
      </c>
      <c r="G26" s="142"/>
      <c r="H26" s="3">
        <f>0.2/100*5</f>
        <v>0.01</v>
      </c>
      <c r="I26" s="3">
        <v>0</v>
      </c>
      <c r="J26" s="3">
        <f>10/100*5</f>
        <v>0.5</v>
      </c>
      <c r="K26" s="244">
        <f>42/100*5</f>
        <v>2.1</v>
      </c>
      <c r="L26" s="247"/>
      <c r="M26" s="3">
        <f>8.5/100*5</f>
        <v>0.42500000000000004</v>
      </c>
      <c r="N26" s="5"/>
    </row>
    <row r="27" spans="1:14" ht="15.75" thickBot="1">
      <c r="A27" s="297"/>
      <c r="B27" s="280" t="s">
        <v>35</v>
      </c>
      <c r="C27" s="281"/>
      <c r="D27" s="281"/>
      <c r="E27" s="15">
        <v>7</v>
      </c>
      <c r="F27" s="15">
        <v>5</v>
      </c>
      <c r="G27" s="142"/>
      <c r="H27" s="3">
        <f>1/100*5</f>
        <v>0.05</v>
      </c>
      <c r="I27" s="3">
        <v>0</v>
      </c>
      <c r="J27" s="3">
        <f>6.1/100*5</f>
        <v>0.30499999999999999</v>
      </c>
      <c r="K27" s="244">
        <f>29/100*5</f>
        <v>1.45</v>
      </c>
      <c r="L27" s="247"/>
      <c r="M27" s="3">
        <f>4/100*5</f>
        <v>0.2</v>
      </c>
      <c r="N27" s="5"/>
    </row>
    <row r="28" spans="1:14" ht="15.75" thickBot="1">
      <c r="A28" s="297"/>
      <c r="B28" s="280" t="s">
        <v>23</v>
      </c>
      <c r="C28" s="283"/>
      <c r="D28" s="284"/>
      <c r="E28" s="15">
        <v>2</v>
      </c>
      <c r="F28" s="15">
        <v>2</v>
      </c>
      <c r="G28" s="142"/>
      <c r="H28" s="3">
        <f>0.4/100*2</f>
        <v>8.0000000000000002E-3</v>
      </c>
      <c r="I28" s="3">
        <f>78.5/100*2</f>
        <v>1.57</v>
      </c>
      <c r="J28" s="3">
        <f>0.5/100*2</f>
        <v>0.01</v>
      </c>
      <c r="K28" s="250">
        <f>734/100*2</f>
        <v>14.68</v>
      </c>
      <c r="L28" s="251"/>
      <c r="M28" s="3">
        <v>0</v>
      </c>
      <c r="N28" s="5"/>
    </row>
    <row r="29" spans="1:14" ht="15.75" thickBot="1">
      <c r="A29" s="297"/>
      <c r="B29" s="277" t="s">
        <v>211</v>
      </c>
      <c r="C29" s="277"/>
      <c r="D29" s="277"/>
      <c r="E29" s="15">
        <v>2</v>
      </c>
      <c r="F29" s="15">
        <v>2</v>
      </c>
      <c r="G29" s="142"/>
      <c r="H29" s="1">
        <v>0</v>
      </c>
      <c r="I29" s="1">
        <f>99.9/100*2</f>
        <v>1.9980000000000002</v>
      </c>
      <c r="J29" s="1">
        <v>0</v>
      </c>
      <c r="K29" s="250">
        <f>900/100*2</f>
        <v>18</v>
      </c>
      <c r="L29" s="251"/>
      <c r="M29" s="1">
        <v>0</v>
      </c>
      <c r="N29" s="5"/>
    </row>
    <row r="30" spans="1:14" ht="15.75" thickBot="1">
      <c r="A30" s="297"/>
      <c r="B30" s="218"/>
      <c r="C30" s="220" t="s">
        <v>206</v>
      </c>
      <c r="D30" s="219"/>
      <c r="E30" s="219">
        <v>15</v>
      </c>
      <c r="F30" s="45">
        <v>15</v>
      </c>
      <c r="G30" s="142"/>
      <c r="H30" s="3">
        <f>7/100*52</f>
        <v>3.6400000000000006</v>
      </c>
      <c r="I30" s="3">
        <f>1/100*52</f>
        <v>0.52</v>
      </c>
      <c r="J30" s="250">
        <f>74/100*52</f>
        <v>38.479999999999997</v>
      </c>
      <c r="K30" s="250">
        <f>330/100*52</f>
        <v>171.6</v>
      </c>
      <c r="L30" s="236"/>
      <c r="M30" s="3">
        <v>0</v>
      </c>
      <c r="N30" s="5"/>
    </row>
    <row r="31" spans="1:14" ht="15.75" thickBot="1">
      <c r="A31" s="297"/>
      <c r="B31" s="277" t="s">
        <v>37</v>
      </c>
      <c r="C31" s="277"/>
      <c r="D31" s="277"/>
      <c r="E31" s="15">
        <v>4</v>
      </c>
      <c r="F31" s="15">
        <v>4</v>
      </c>
      <c r="G31" s="142"/>
      <c r="H31" s="1">
        <f>2.6/100*4</f>
        <v>0.10400000000000001</v>
      </c>
      <c r="I31" s="1">
        <f>15/100*4</f>
        <v>0.6</v>
      </c>
      <c r="J31" s="1">
        <f>3.6/100*4</f>
        <v>0.14400000000000002</v>
      </c>
      <c r="K31" s="250">
        <f>160/100*4</f>
        <v>6.4</v>
      </c>
      <c r="L31" s="251"/>
      <c r="M31" s="1">
        <v>0</v>
      </c>
      <c r="N31" s="5"/>
    </row>
    <row r="32" spans="1:14" ht="15.75" thickBot="1">
      <c r="A32" s="297"/>
      <c r="B32" s="280" t="s">
        <v>39</v>
      </c>
      <c r="C32" s="281"/>
      <c r="D32" s="281"/>
      <c r="E32" s="15">
        <v>2.1</v>
      </c>
      <c r="F32" s="15">
        <v>2</v>
      </c>
      <c r="G32" s="142"/>
      <c r="H32" s="3">
        <f>6.5/100*2</f>
        <v>0.13</v>
      </c>
      <c r="I32" s="3">
        <f>0.5/100*2</f>
        <v>0.01</v>
      </c>
      <c r="J32" s="3">
        <f>29.9/100*2</f>
        <v>0.59799999999999998</v>
      </c>
      <c r="K32" s="244">
        <f>142/100*2</f>
        <v>2.84</v>
      </c>
      <c r="L32" s="247"/>
      <c r="M32" s="3">
        <f>31.2/100*2</f>
        <v>0.624</v>
      </c>
      <c r="N32" s="5"/>
    </row>
    <row r="33" spans="1:17" ht="15.75" thickBot="1">
      <c r="A33" s="297"/>
      <c r="B33" s="280" t="s">
        <v>236</v>
      </c>
      <c r="C33" s="283"/>
      <c r="D33" s="284"/>
      <c r="E33" s="15">
        <v>3</v>
      </c>
      <c r="F33" s="15">
        <v>3</v>
      </c>
      <c r="G33" s="142"/>
      <c r="H33" s="3">
        <f>2.2/100*3</f>
        <v>6.6000000000000003E-2</v>
      </c>
      <c r="I33" s="3">
        <v>0</v>
      </c>
      <c r="J33" s="3">
        <f>15.8/100*3</f>
        <v>0.47399999999999998</v>
      </c>
      <c r="K33" s="244">
        <f>63.2/100*3</f>
        <v>1.8959999999999999</v>
      </c>
      <c r="L33" s="247"/>
      <c r="M33" s="3">
        <f>26/100*3</f>
        <v>0.78</v>
      </c>
      <c r="N33" s="5"/>
    </row>
    <row r="34" spans="1:17" ht="15.75" thickBot="1">
      <c r="A34" s="297"/>
      <c r="B34" s="277" t="s">
        <v>214</v>
      </c>
      <c r="C34" s="277"/>
      <c r="D34" s="277"/>
      <c r="E34" s="15">
        <v>6</v>
      </c>
      <c r="F34" s="15">
        <v>5.6</v>
      </c>
      <c r="G34" s="142"/>
      <c r="H34" s="3">
        <f>2.6/100*5.6</f>
        <v>0.14560000000000001</v>
      </c>
      <c r="I34" s="3">
        <v>0</v>
      </c>
      <c r="J34" s="3">
        <f>6.5/100*5.6</f>
        <v>0.36399999999999999</v>
      </c>
      <c r="K34" s="250">
        <f>37/100*5.6</f>
        <v>2.0720000000000001</v>
      </c>
      <c r="L34" s="236"/>
      <c r="M34" s="3">
        <f>126/100*5.6</f>
        <v>7.0559999999999992</v>
      </c>
      <c r="N34" s="5"/>
      <c r="Q34" s="27"/>
    </row>
    <row r="35" spans="1:17" ht="15.75" thickBot="1">
      <c r="A35" s="297"/>
      <c r="B35" s="278" t="s">
        <v>165</v>
      </c>
      <c r="C35" s="279"/>
      <c r="D35" s="279"/>
      <c r="E35" s="220"/>
      <c r="F35" s="21"/>
      <c r="G35" s="137">
        <v>150</v>
      </c>
      <c r="H35" s="3"/>
      <c r="I35" s="3"/>
      <c r="J35" s="3"/>
      <c r="K35" s="250"/>
      <c r="L35" s="251"/>
      <c r="M35" s="3"/>
      <c r="N35" s="5"/>
      <c r="Q35" s="27"/>
    </row>
    <row r="36" spans="1:17" ht="15.75" thickBot="1">
      <c r="A36" s="297"/>
      <c r="B36" s="277" t="s">
        <v>46</v>
      </c>
      <c r="C36" s="277"/>
      <c r="D36" s="277"/>
      <c r="E36" s="15">
        <v>20</v>
      </c>
      <c r="F36" s="15">
        <v>20</v>
      </c>
      <c r="G36" s="3"/>
      <c r="H36" s="243">
        <f>2.8/100*50</f>
        <v>1.4</v>
      </c>
      <c r="I36" s="243">
        <f>2.5/100*50</f>
        <v>1.25</v>
      </c>
      <c r="J36" s="243">
        <f>4.7/100*50</f>
        <v>2.35</v>
      </c>
      <c r="K36" s="89">
        <f>55/100*50</f>
        <v>27.500000000000004</v>
      </c>
      <c r="L36" s="90"/>
      <c r="M36" s="243">
        <f>1/100*50</f>
        <v>0.5</v>
      </c>
      <c r="N36" s="5"/>
      <c r="Q36" s="27"/>
    </row>
    <row r="37" spans="1:17" ht="15.75" thickBot="1">
      <c r="A37" s="297"/>
      <c r="B37" s="280" t="s">
        <v>58</v>
      </c>
      <c r="C37" s="283"/>
      <c r="D37" s="284"/>
      <c r="E37" s="15">
        <v>50</v>
      </c>
      <c r="F37" s="15">
        <v>50</v>
      </c>
      <c r="G37" s="5"/>
      <c r="H37" s="3">
        <f>10.3/100*50</f>
        <v>5.15</v>
      </c>
      <c r="I37" s="3">
        <f>1.1/100*50</f>
        <v>0.55000000000000004</v>
      </c>
      <c r="J37" s="3">
        <f>70.6/100*50</f>
        <v>35.299999999999997</v>
      </c>
      <c r="K37" s="244">
        <f>334/100*50</f>
        <v>167</v>
      </c>
      <c r="L37" s="245"/>
      <c r="M37" s="3">
        <v>0</v>
      </c>
      <c r="N37" s="5"/>
      <c r="Q37" s="27"/>
    </row>
    <row r="38" spans="1:17" ht="15.75" thickBot="1">
      <c r="A38" s="297"/>
      <c r="B38" s="280" t="s">
        <v>48</v>
      </c>
      <c r="C38" s="283"/>
      <c r="D38" s="284"/>
      <c r="E38" s="15">
        <v>3</v>
      </c>
      <c r="F38" s="15">
        <v>3</v>
      </c>
      <c r="G38" s="3"/>
      <c r="H38" s="3">
        <f>0.4/100*3</f>
        <v>1.2E-2</v>
      </c>
      <c r="I38" s="3">
        <f>78.5/100*3</f>
        <v>2.355</v>
      </c>
      <c r="J38" s="3">
        <f>0.5/100*3</f>
        <v>1.4999999999999999E-2</v>
      </c>
      <c r="K38" s="250">
        <f>734/100*3</f>
        <v>22.02</v>
      </c>
      <c r="L38" s="251"/>
      <c r="M38" s="3">
        <v>0</v>
      </c>
      <c r="N38" s="5"/>
      <c r="Q38" s="27"/>
    </row>
    <row r="39" spans="1:17" ht="15.75" thickBot="1">
      <c r="A39" s="297"/>
      <c r="B39" s="280" t="s">
        <v>60</v>
      </c>
      <c r="C39" s="281"/>
      <c r="D39" s="281"/>
      <c r="E39" s="15">
        <v>6</v>
      </c>
      <c r="F39" s="15">
        <v>6</v>
      </c>
      <c r="G39" s="5"/>
      <c r="H39" s="1">
        <v>0</v>
      </c>
      <c r="I39" s="1">
        <f>99.9/100*6</f>
        <v>5.9940000000000007</v>
      </c>
      <c r="J39" s="1">
        <v>0</v>
      </c>
      <c r="K39" s="250">
        <f>900/100*6</f>
        <v>54</v>
      </c>
      <c r="L39" s="251"/>
      <c r="M39" s="1">
        <v>0</v>
      </c>
      <c r="N39" s="5"/>
      <c r="Q39" s="27"/>
    </row>
    <row r="40" spans="1:17" ht="15.75" thickBot="1">
      <c r="A40" s="297"/>
      <c r="B40" s="280" t="s">
        <v>59</v>
      </c>
      <c r="C40" s="283"/>
      <c r="D40" s="284"/>
      <c r="E40" s="15">
        <v>1</v>
      </c>
      <c r="F40" s="15">
        <v>1</v>
      </c>
      <c r="G40" s="5"/>
      <c r="H40" s="3">
        <f>12.5/100*1</f>
        <v>0.125</v>
      </c>
      <c r="I40" s="3">
        <f>0.4/100*1</f>
        <v>4.0000000000000001E-3</v>
      </c>
      <c r="J40" s="3">
        <f>8.3/100*1</f>
        <v>8.3000000000000004E-2</v>
      </c>
      <c r="K40" s="244">
        <f>85/100*1</f>
        <v>0.85</v>
      </c>
      <c r="L40" s="245"/>
      <c r="M40" s="3">
        <v>0</v>
      </c>
      <c r="N40" s="5"/>
      <c r="Q40" s="27"/>
    </row>
    <row r="41" spans="1:17" ht="15.75" thickBot="1">
      <c r="A41" s="297"/>
      <c r="B41" s="277" t="s">
        <v>50</v>
      </c>
      <c r="C41" s="277"/>
      <c r="D41" s="277"/>
      <c r="E41" s="15">
        <v>5</v>
      </c>
      <c r="F41" s="15">
        <v>5</v>
      </c>
      <c r="G41" s="3"/>
      <c r="H41" s="3">
        <f>12.7/100*5</f>
        <v>0.63500000000000001</v>
      </c>
      <c r="I41" s="3">
        <f>11.5/100*5</f>
        <v>0.57500000000000007</v>
      </c>
      <c r="J41" s="3">
        <f>0.7/100*5</f>
        <v>3.4999999999999996E-2</v>
      </c>
      <c r="K41" s="244">
        <f>241/100*5</f>
        <v>12.05</v>
      </c>
      <c r="L41" s="245"/>
      <c r="M41" s="3">
        <v>0</v>
      </c>
      <c r="N41" s="5"/>
      <c r="Q41" s="27"/>
    </row>
    <row r="42" spans="1:17" ht="15.75" thickBot="1">
      <c r="A42" s="297"/>
      <c r="B42" s="252"/>
      <c r="C42" s="239" t="s">
        <v>53</v>
      </c>
      <c r="D42" s="241"/>
      <c r="E42" s="15">
        <v>65</v>
      </c>
      <c r="F42" s="15">
        <v>50</v>
      </c>
      <c r="G42" s="5"/>
      <c r="H42" s="3">
        <f>1.2/100*50</f>
        <v>0.6</v>
      </c>
      <c r="I42" s="3">
        <v>0</v>
      </c>
      <c r="J42" s="3">
        <f>4.1/100*50</f>
        <v>2.0499999999999998</v>
      </c>
      <c r="K42" s="244">
        <f>22/100*50</f>
        <v>11</v>
      </c>
      <c r="L42" s="245"/>
      <c r="M42" s="3">
        <f>24/100*50</f>
        <v>12</v>
      </c>
      <c r="N42" s="5"/>
      <c r="Q42" s="27"/>
    </row>
    <row r="43" spans="1:17" ht="15.75" thickBot="1">
      <c r="A43" s="297"/>
      <c r="B43" s="277" t="s">
        <v>54</v>
      </c>
      <c r="C43" s="277"/>
      <c r="D43" s="277"/>
      <c r="E43" s="15">
        <v>12</v>
      </c>
      <c r="F43" s="15">
        <v>10</v>
      </c>
      <c r="G43" s="3"/>
      <c r="H43" s="3">
        <f>0.2/100*10</f>
        <v>0.02</v>
      </c>
      <c r="I43" s="3">
        <v>0</v>
      </c>
      <c r="J43" s="3">
        <f>10/100*10</f>
        <v>1</v>
      </c>
      <c r="K43" s="244">
        <f>42/100*10</f>
        <v>4.2</v>
      </c>
      <c r="L43" s="245"/>
      <c r="M43" s="3">
        <f>8.5/100*10</f>
        <v>0.85000000000000009</v>
      </c>
      <c r="N43" s="5"/>
      <c r="Q43" s="27"/>
    </row>
    <row r="44" spans="1:17" ht="15.75" thickBot="1">
      <c r="A44" s="297"/>
      <c r="B44" s="240"/>
      <c r="C44" s="239" t="s">
        <v>55</v>
      </c>
      <c r="D44" s="238"/>
      <c r="E44" s="15">
        <v>16</v>
      </c>
      <c r="F44" s="15">
        <v>10</v>
      </c>
      <c r="G44" s="3"/>
      <c r="H44" s="3">
        <f>1/100*10</f>
        <v>0.1</v>
      </c>
      <c r="I44" s="3">
        <v>0</v>
      </c>
      <c r="J44" s="3">
        <f>6.1/100*10</f>
        <v>0.61</v>
      </c>
      <c r="K44" s="244">
        <f>29/100*10</f>
        <v>2.9</v>
      </c>
      <c r="L44" s="245"/>
      <c r="M44" s="3">
        <f>4/100*10</f>
        <v>0.4</v>
      </c>
      <c r="N44" s="5"/>
      <c r="Q44" s="27"/>
    </row>
    <row r="45" spans="1:17" ht="15.75" thickBot="1">
      <c r="A45" s="297"/>
      <c r="B45" s="280" t="s">
        <v>69</v>
      </c>
      <c r="C45" s="283"/>
      <c r="D45" s="284"/>
      <c r="E45" s="15">
        <v>40</v>
      </c>
      <c r="F45" s="15">
        <v>40</v>
      </c>
      <c r="G45" s="5"/>
      <c r="H45" s="3">
        <f>18.9/100*40</f>
        <v>7.5599999999999987</v>
      </c>
      <c r="I45" s="3">
        <f>12.4/100*40</f>
        <v>4.96</v>
      </c>
      <c r="J45" s="3">
        <v>0</v>
      </c>
      <c r="K45" s="250">
        <f>187/100*40</f>
        <v>74.800000000000011</v>
      </c>
      <c r="L45" s="251"/>
      <c r="M45" s="3">
        <v>0</v>
      </c>
      <c r="N45" s="5"/>
      <c r="P45" s="27"/>
      <c r="Q45" s="27"/>
    </row>
    <row r="46" spans="1:17" ht="15.75" thickBot="1">
      <c r="A46" s="297"/>
      <c r="B46" s="278" t="s">
        <v>129</v>
      </c>
      <c r="C46" s="279"/>
      <c r="D46" s="279"/>
      <c r="E46" s="164"/>
      <c r="F46" s="165"/>
      <c r="G46" s="66">
        <v>25</v>
      </c>
      <c r="H46" s="4">
        <f>7/100*25</f>
        <v>1.7500000000000002</v>
      </c>
      <c r="I46" s="4">
        <f>1/100*25</f>
        <v>0.25</v>
      </c>
      <c r="J46" s="22">
        <f>46/100*25</f>
        <v>11.5</v>
      </c>
      <c r="K46" s="173">
        <f>200/100*25</f>
        <v>50</v>
      </c>
      <c r="L46" s="174"/>
      <c r="M46" s="4">
        <v>0</v>
      </c>
      <c r="N46" s="5"/>
      <c r="Q46" s="25"/>
    </row>
    <row r="47" spans="1:17" ht="15.75" thickBot="1">
      <c r="A47" s="297"/>
      <c r="B47" s="278" t="s">
        <v>40</v>
      </c>
      <c r="C47" s="279"/>
      <c r="D47" s="279"/>
      <c r="E47" s="164"/>
      <c r="F47" s="165"/>
      <c r="G47" s="66">
        <v>180</v>
      </c>
      <c r="H47" s="3">
        <f>7/100*40</f>
        <v>2.8000000000000003</v>
      </c>
      <c r="I47" s="3">
        <f>1/100*40</f>
        <v>0.4</v>
      </c>
      <c r="J47" s="22">
        <f>47/100*40</f>
        <v>18.799999999999997</v>
      </c>
      <c r="K47" s="173">
        <f>230/100*40</f>
        <v>92</v>
      </c>
      <c r="L47" s="174"/>
      <c r="M47" s="4">
        <v>0</v>
      </c>
      <c r="N47" s="5"/>
    </row>
    <row r="48" spans="1:17" ht="15.75" thickBot="1">
      <c r="A48" s="297"/>
      <c r="B48" s="277" t="s">
        <v>41</v>
      </c>
      <c r="C48" s="277"/>
      <c r="D48" s="277"/>
      <c r="E48" s="168">
        <v>11</v>
      </c>
      <c r="F48" s="168">
        <v>16.5</v>
      </c>
      <c r="G48" s="3"/>
      <c r="H48" s="3">
        <f>0.63/100*16.5</f>
        <v>0.10395</v>
      </c>
      <c r="I48" s="3">
        <v>0</v>
      </c>
      <c r="J48" s="22">
        <f>10.06/100*16.5</f>
        <v>1.6599000000000002</v>
      </c>
      <c r="K48" s="173">
        <f>40.87/100*16.5</f>
        <v>6.743549999999999</v>
      </c>
      <c r="L48" s="174"/>
      <c r="M48" s="4">
        <f>0.46/100*16.5</f>
        <v>7.5899999999999995E-2</v>
      </c>
      <c r="N48" s="5"/>
    </row>
    <row r="49" spans="1:14" ht="15.75" thickBot="1">
      <c r="A49" s="297"/>
      <c r="B49" s="280" t="s">
        <v>24</v>
      </c>
      <c r="C49" s="281"/>
      <c r="D49" s="281"/>
      <c r="E49" s="168">
        <v>10</v>
      </c>
      <c r="F49" s="168">
        <v>10</v>
      </c>
      <c r="G49" s="5"/>
      <c r="H49" s="3">
        <v>0</v>
      </c>
      <c r="I49" s="3">
        <v>0</v>
      </c>
      <c r="J49" s="22">
        <f>100/100*10</f>
        <v>10</v>
      </c>
      <c r="K49" s="173">
        <f>400/100*10</f>
        <v>40</v>
      </c>
      <c r="L49" s="174"/>
      <c r="M49" s="4">
        <v>0</v>
      </c>
      <c r="N49" s="5"/>
    </row>
    <row r="50" spans="1:14" ht="15.75" thickBot="1">
      <c r="A50" s="296" t="s">
        <v>6</v>
      </c>
      <c r="B50" s="240" t="s">
        <v>186</v>
      </c>
      <c r="C50" s="239"/>
      <c r="D50" s="239"/>
      <c r="E50" s="220"/>
      <c r="F50" s="21"/>
      <c r="G50" s="137">
        <v>20</v>
      </c>
      <c r="H50" s="4">
        <f>10/100*22.5</f>
        <v>2.25</v>
      </c>
      <c r="I50" s="4">
        <f>5/100*22.5</f>
        <v>1.125</v>
      </c>
      <c r="J50" s="4">
        <f>70/100*2.5</f>
        <v>1.75</v>
      </c>
      <c r="K50" s="250">
        <f>370/100*22.5</f>
        <v>83.25</v>
      </c>
      <c r="L50" s="249"/>
      <c r="M50" s="4">
        <v>0</v>
      </c>
      <c r="N50" s="5"/>
    </row>
    <row r="51" spans="1:14" ht="15.75" thickBot="1">
      <c r="A51" s="297"/>
      <c r="B51" s="160" t="s">
        <v>182</v>
      </c>
      <c r="C51" s="166"/>
      <c r="D51" s="167"/>
      <c r="E51" s="168">
        <v>150</v>
      </c>
      <c r="F51" s="168">
        <v>150</v>
      </c>
      <c r="G51" s="66">
        <v>150</v>
      </c>
      <c r="H51" s="4">
        <f>3/100*150</f>
        <v>4.5</v>
      </c>
      <c r="I51" s="4">
        <f>2.5/100*150</f>
        <v>3.75</v>
      </c>
      <c r="J51" s="22">
        <f>4.4/100*150</f>
        <v>6.6000000000000005</v>
      </c>
      <c r="K51" s="173">
        <f>51/100*150</f>
        <v>76.5</v>
      </c>
      <c r="L51" s="174"/>
      <c r="M51" s="4">
        <v>0</v>
      </c>
      <c r="N51" s="5"/>
    </row>
    <row r="52" spans="1:14" ht="15.75" thickBot="1">
      <c r="A52" s="297"/>
      <c r="B52" s="163"/>
      <c r="C52" s="164" t="s">
        <v>47</v>
      </c>
      <c r="D52" s="167"/>
      <c r="E52" s="168">
        <v>5</v>
      </c>
      <c r="F52" s="168">
        <v>5</v>
      </c>
      <c r="G52" s="5"/>
      <c r="H52" s="168">
        <f>0.4/100*5</f>
        <v>0.02</v>
      </c>
      <c r="I52" s="168">
        <f>78.5/100*5</f>
        <v>3.9250000000000003</v>
      </c>
      <c r="J52" s="15">
        <f>0.5/100*5</f>
        <v>2.5000000000000001E-2</v>
      </c>
      <c r="K52" s="163">
        <f>734/100*5</f>
        <v>36.700000000000003</v>
      </c>
      <c r="L52" s="165"/>
      <c r="M52" s="168">
        <f>0.6/100*5</f>
        <v>0.03</v>
      </c>
      <c r="N52" s="5"/>
    </row>
    <row r="53" spans="1:14" ht="15.75" thickBot="1">
      <c r="A53" s="293" t="s">
        <v>7</v>
      </c>
      <c r="B53" s="278" t="s">
        <v>176</v>
      </c>
      <c r="C53" s="279"/>
      <c r="D53" s="279"/>
      <c r="E53" s="279"/>
      <c r="F53" s="298"/>
      <c r="G53" s="242">
        <v>200</v>
      </c>
      <c r="H53" s="243"/>
      <c r="I53" s="243"/>
      <c r="J53" s="243"/>
      <c r="K53" s="7"/>
      <c r="L53" s="8"/>
      <c r="M53" s="243"/>
      <c r="N53" s="243"/>
    </row>
    <row r="54" spans="1:14" ht="15.75" thickBot="1">
      <c r="A54" s="294"/>
      <c r="B54" s="280" t="s">
        <v>87</v>
      </c>
      <c r="C54" s="283"/>
      <c r="D54" s="284"/>
      <c r="E54" s="243">
        <v>25</v>
      </c>
      <c r="F54" s="243">
        <v>25</v>
      </c>
      <c r="G54" s="243"/>
      <c r="H54" s="4">
        <f>12.6/100*25</f>
        <v>3.15</v>
      </c>
      <c r="I54" s="4">
        <f>3.3/100*25</f>
        <v>0.82500000000000007</v>
      </c>
      <c r="J54" s="4">
        <f>60.7/100*25</f>
        <v>15.174999999999999</v>
      </c>
      <c r="K54" s="250">
        <f>335/100*25</f>
        <v>83.75</v>
      </c>
      <c r="L54" s="236"/>
      <c r="M54" s="4">
        <v>0</v>
      </c>
      <c r="N54" s="5"/>
    </row>
    <row r="55" spans="1:14" ht="15.75" thickBot="1">
      <c r="A55" s="294"/>
      <c r="B55" s="280" t="s">
        <v>46</v>
      </c>
      <c r="C55" s="281"/>
      <c r="D55" s="281"/>
      <c r="E55" s="243">
        <v>150</v>
      </c>
      <c r="F55" s="243">
        <v>150</v>
      </c>
      <c r="G55" s="243"/>
      <c r="H55" s="243">
        <f>2.8/100*150</f>
        <v>4.1999999999999993</v>
      </c>
      <c r="I55" s="243">
        <f>2.5/100*150</f>
        <v>3.75</v>
      </c>
      <c r="J55" s="243">
        <f>4.7/100*150</f>
        <v>7.05</v>
      </c>
      <c r="K55" s="89">
        <f>55/100*150</f>
        <v>82.5</v>
      </c>
      <c r="L55" s="8"/>
      <c r="M55" s="243">
        <f>1/100*150</f>
        <v>1.5</v>
      </c>
      <c r="N55" s="243"/>
    </row>
    <row r="56" spans="1:14" ht="15.75" thickBot="1">
      <c r="A56" s="294"/>
      <c r="B56" s="280" t="s">
        <v>48</v>
      </c>
      <c r="C56" s="281"/>
      <c r="D56" s="281"/>
      <c r="E56" s="243">
        <v>5</v>
      </c>
      <c r="F56" s="243">
        <v>5</v>
      </c>
      <c r="G56" s="243"/>
      <c r="H56" s="243">
        <v>0</v>
      </c>
      <c r="I56" s="243">
        <v>0</v>
      </c>
      <c r="J56" s="243">
        <f>100/100*5</f>
        <v>5</v>
      </c>
      <c r="K56" s="89">
        <f>400/100*5</f>
        <v>20</v>
      </c>
      <c r="L56" s="8"/>
      <c r="M56" s="243">
        <v>0</v>
      </c>
      <c r="N56" s="243"/>
    </row>
    <row r="57" spans="1:14" ht="15.75" thickBot="1">
      <c r="A57" s="294"/>
      <c r="B57" s="280" t="s">
        <v>47</v>
      </c>
      <c r="C57" s="281"/>
      <c r="D57" s="281"/>
      <c r="E57" s="243">
        <v>5</v>
      </c>
      <c r="F57" s="243">
        <v>5</v>
      </c>
      <c r="G57" s="243"/>
      <c r="H57" s="243">
        <v>0</v>
      </c>
      <c r="I57" s="243">
        <v>0</v>
      </c>
      <c r="J57" s="243">
        <f>100/100*2</f>
        <v>2</v>
      </c>
      <c r="K57" s="218">
        <f>400/100*2</f>
        <v>8</v>
      </c>
      <c r="L57" s="238"/>
      <c r="M57" s="243">
        <f>0.6/100*2</f>
        <v>1.2E-2</v>
      </c>
      <c r="N57" s="243"/>
    </row>
    <row r="58" spans="1:14" ht="15.75" thickBot="1">
      <c r="A58" s="294"/>
      <c r="B58" s="278" t="s">
        <v>207</v>
      </c>
      <c r="C58" s="279"/>
      <c r="D58" s="279"/>
      <c r="E58" s="164"/>
      <c r="F58" s="165"/>
      <c r="G58" s="183">
        <v>30</v>
      </c>
      <c r="H58" s="1">
        <f>7/100*30</f>
        <v>2.1</v>
      </c>
      <c r="I58" s="1">
        <f>1/100*30</f>
        <v>0.3</v>
      </c>
      <c r="J58" s="15">
        <f>47/100*30</f>
        <v>14.1</v>
      </c>
      <c r="K58" s="173">
        <f>230/100*30</f>
        <v>69</v>
      </c>
      <c r="L58" s="174"/>
      <c r="M58" s="168">
        <v>0</v>
      </c>
      <c r="N58" s="5"/>
    </row>
    <row r="59" spans="1:14" ht="15.75" thickBot="1">
      <c r="A59" s="294"/>
      <c r="B59" s="278" t="s">
        <v>244</v>
      </c>
      <c r="C59" s="279"/>
      <c r="D59" s="279"/>
      <c r="E59" s="164"/>
      <c r="F59" s="165"/>
      <c r="G59" s="183">
        <v>180</v>
      </c>
      <c r="H59" s="1"/>
      <c r="I59" s="1"/>
      <c r="J59" s="15"/>
      <c r="K59" s="173"/>
      <c r="L59" s="174"/>
      <c r="M59" s="168"/>
      <c r="N59" s="5"/>
    </row>
    <row r="60" spans="1:14" ht="15.75" thickBot="1">
      <c r="A60" s="294"/>
      <c r="B60" s="277" t="s">
        <v>62</v>
      </c>
      <c r="C60" s="277"/>
      <c r="D60" s="277"/>
      <c r="E60" s="168">
        <v>0.6</v>
      </c>
      <c r="F60" s="168">
        <v>0.6</v>
      </c>
      <c r="G60" s="33"/>
      <c r="H60" s="3">
        <f>20/100*0.6</f>
        <v>0.12</v>
      </c>
      <c r="I60" s="3">
        <v>0</v>
      </c>
      <c r="J60" s="22">
        <f>6.9/100*0.6</f>
        <v>4.1399999999999999E-2</v>
      </c>
      <c r="K60" s="287">
        <f>109/100*0.6</f>
        <v>0.65400000000000003</v>
      </c>
      <c r="L60" s="288"/>
      <c r="M60" s="4">
        <f>10/100*0.6</f>
        <v>0.06</v>
      </c>
      <c r="N60" s="33"/>
    </row>
    <row r="61" spans="1:14" ht="15.75" thickBot="1">
      <c r="A61" s="294"/>
      <c r="B61" s="23"/>
      <c r="C61" s="34" t="s">
        <v>47</v>
      </c>
      <c r="D61" s="34"/>
      <c r="E61" s="168">
        <v>8</v>
      </c>
      <c r="F61" s="168">
        <v>8</v>
      </c>
      <c r="G61" s="1"/>
      <c r="H61" s="4">
        <v>0</v>
      </c>
      <c r="I61" s="4">
        <v>0</v>
      </c>
      <c r="J61" s="22">
        <f>100/100*8</f>
        <v>8</v>
      </c>
      <c r="K61" s="287">
        <f>400/100*8</f>
        <v>32</v>
      </c>
      <c r="L61" s="288"/>
      <c r="M61" s="4">
        <v>0</v>
      </c>
      <c r="N61" s="5"/>
    </row>
    <row r="62" spans="1:14" ht="15.75" hidden="1" thickBot="1">
      <c r="A62" s="295"/>
      <c r="B62" s="277"/>
      <c r="C62" s="277"/>
      <c r="D62" s="277"/>
      <c r="E62" s="15"/>
      <c r="F62" s="15"/>
      <c r="G62" s="28"/>
      <c r="H62" s="4">
        <f>SUM(H8:H61)</f>
        <v>57.088549999999998</v>
      </c>
      <c r="I62" s="4">
        <f t="shared" ref="I62:K62" si="1">SUM(I8:I61)</f>
        <v>78.237999999999985</v>
      </c>
      <c r="J62" s="4">
        <f t="shared" si="1"/>
        <v>249.98970000000006</v>
      </c>
      <c r="K62" s="24">
        <f t="shared" si="1"/>
        <v>1810.8995499999999</v>
      </c>
      <c r="L62" s="28"/>
      <c r="M62" s="4">
        <f>SUM(M8:M61)</f>
        <v>34.642899999999997</v>
      </c>
      <c r="N62" s="28"/>
    </row>
    <row r="63" spans="1:14">
      <c r="A63" s="181"/>
    </row>
    <row r="64" spans="1:14">
      <c r="A64" s="182"/>
    </row>
  </sheetData>
  <mergeCells count="61">
    <mergeCell ref="M4:M5"/>
    <mergeCell ref="N4:N5"/>
    <mergeCell ref="A19:A49"/>
    <mergeCell ref="A50:A52"/>
    <mergeCell ref="B31:D31"/>
    <mergeCell ref="B32:D32"/>
    <mergeCell ref="B33:D33"/>
    <mergeCell ref="B34:D34"/>
    <mergeCell ref="B45:D45"/>
    <mergeCell ref="B27:D27"/>
    <mergeCell ref="B28:D28"/>
    <mergeCell ref="H4:J4"/>
    <mergeCell ref="K19:L19"/>
    <mergeCell ref="A4:A5"/>
    <mergeCell ref="B4:D5"/>
    <mergeCell ref="E4:F4"/>
    <mergeCell ref="G4:G5"/>
    <mergeCell ref="B25:D25"/>
    <mergeCell ref="B21:D21"/>
    <mergeCell ref="B15:D15"/>
    <mergeCell ref="B19:F19"/>
    <mergeCell ref="B20:D20"/>
    <mergeCell ref="B13:D13"/>
    <mergeCell ref="A7:A17"/>
    <mergeCell ref="B8:D8"/>
    <mergeCell ref="K4:L5"/>
    <mergeCell ref="B47:D47"/>
    <mergeCell ref="B48:D48"/>
    <mergeCell ref="B46:D46"/>
    <mergeCell ref="B49:D49"/>
    <mergeCell ref="B22:D22"/>
    <mergeCell ref="B23:D23"/>
    <mergeCell ref="B24:D24"/>
    <mergeCell ref="B7:F7"/>
    <mergeCell ref="B9:D9"/>
    <mergeCell ref="B10:D10"/>
    <mergeCell ref="B11:D11"/>
    <mergeCell ref="B12:D12"/>
    <mergeCell ref="B59:D59"/>
    <mergeCell ref="B18:D18"/>
    <mergeCell ref="B26:D26"/>
    <mergeCell ref="B29:D29"/>
    <mergeCell ref="B35:D35"/>
    <mergeCell ref="B36:D36"/>
    <mergeCell ref="B37:D37"/>
    <mergeCell ref="B38:D38"/>
    <mergeCell ref="B39:D39"/>
    <mergeCell ref="B40:D40"/>
    <mergeCell ref="B41:D41"/>
    <mergeCell ref="B43:D43"/>
    <mergeCell ref="A53:A62"/>
    <mergeCell ref="B60:D60"/>
    <mergeCell ref="K60:L60"/>
    <mergeCell ref="B54:D54"/>
    <mergeCell ref="B56:D56"/>
    <mergeCell ref="B57:D57"/>
    <mergeCell ref="B58:D58"/>
    <mergeCell ref="K61:L61"/>
    <mergeCell ref="B62:D62"/>
    <mergeCell ref="B53:F53"/>
    <mergeCell ref="B55:D55"/>
  </mergeCells>
  <printOptions verticalCentered="1"/>
  <pageMargins left="0.31496062992125984" right="0.11811023622047245" top="0.74803149606299213" bottom="0.15748031496062992" header="0.31496062992125984" footer="0.11811023622047245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Q58"/>
  <sheetViews>
    <sheetView zoomScaleNormal="100" workbookViewId="0">
      <pane ySplit="5" topLeftCell="A6" activePane="bottomLeft" state="frozen"/>
      <selection pane="bottomLeft" activeCell="Q55" sqref="Q55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3" max="13" width="9.28515625" bestFit="1" customWidth="1"/>
  </cols>
  <sheetData>
    <row r="2" spans="1:14" ht="16.5" customHeight="1">
      <c r="F2" s="50" t="s">
        <v>98</v>
      </c>
    </row>
    <row r="3" spans="1:14" ht="15.75" thickBot="1"/>
    <row r="4" spans="1:14" ht="15.75" customHeight="1" thickBot="1">
      <c r="A4" s="293" t="s">
        <v>8</v>
      </c>
      <c r="B4" s="299" t="s">
        <v>9</v>
      </c>
      <c r="C4" s="300"/>
      <c r="D4" s="300"/>
      <c r="E4" s="303" t="s">
        <v>29</v>
      </c>
      <c r="F4" s="304"/>
      <c r="G4" s="289" t="s">
        <v>10</v>
      </c>
      <c r="H4" s="305" t="s">
        <v>11</v>
      </c>
      <c r="I4" s="305"/>
      <c r="J4" s="305"/>
      <c r="K4" s="289" t="s">
        <v>93</v>
      </c>
      <c r="L4" s="289"/>
      <c r="M4" s="289" t="s">
        <v>16</v>
      </c>
      <c r="N4" s="289" t="s">
        <v>17</v>
      </c>
    </row>
    <row r="5" spans="1:14" ht="15.75" thickBot="1">
      <c r="A5" s="295"/>
      <c r="B5" s="301"/>
      <c r="C5" s="302"/>
      <c r="D5" s="302"/>
      <c r="E5" s="184" t="s">
        <v>30</v>
      </c>
      <c r="F5" s="184" t="s">
        <v>31</v>
      </c>
      <c r="G5" s="290"/>
      <c r="H5" s="185" t="s">
        <v>12</v>
      </c>
      <c r="I5" s="185" t="s">
        <v>13</v>
      </c>
      <c r="J5" s="185" t="s">
        <v>14</v>
      </c>
      <c r="K5" s="290"/>
      <c r="L5" s="290"/>
      <c r="M5" s="290"/>
      <c r="N5" s="290"/>
    </row>
    <row r="6" spans="1:14" ht="15.75" thickBot="1">
      <c r="A6" s="2" t="s">
        <v>3</v>
      </c>
      <c r="B6" s="12"/>
      <c r="C6" s="13"/>
      <c r="D6" s="13"/>
      <c r="E6" s="13"/>
      <c r="F6" s="13"/>
      <c r="G6" s="195"/>
      <c r="H6" s="253">
        <f>H58</f>
        <v>57.548749999999991</v>
      </c>
      <c r="I6" s="253">
        <f>I58</f>
        <v>56.908799999999992</v>
      </c>
      <c r="J6" s="253">
        <f>J58</f>
        <v>217.6199</v>
      </c>
      <c r="K6" s="254">
        <f>K58</f>
        <v>1658.8955500000002</v>
      </c>
      <c r="L6" s="255"/>
      <c r="M6" s="253">
        <f>M58</f>
        <v>27.636400000000002</v>
      </c>
      <c r="N6" s="195"/>
    </row>
    <row r="7" spans="1:14" ht="15.75" thickBot="1">
      <c r="A7" s="296" t="s">
        <v>4</v>
      </c>
      <c r="B7" s="278" t="s">
        <v>174</v>
      </c>
      <c r="C7" s="279"/>
      <c r="D7" s="279"/>
      <c r="E7" s="279"/>
      <c r="F7" s="298"/>
      <c r="G7" s="266">
        <v>200</v>
      </c>
      <c r="H7" s="257"/>
      <c r="I7" s="257"/>
      <c r="J7" s="257"/>
      <c r="K7" s="7"/>
      <c r="L7" s="8"/>
      <c r="M7" s="257"/>
      <c r="N7" s="257"/>
    </row>
    <row r="8" spans="1:14" ht="15.75" thickBot="1">
      <c r="A8" s="297"/>
      <c r="B8" s="280" t="s">
        <v>92</v>
      </c>
      <c r="C8" s="283"/>
      <c r="D8" s="284"/>
      <c r="E8" s="257">
        <v>30</v>
      </c>
      <c r="F8" s="257">
        <v>30</v>
      </c>
      <c r="G8" s="257"/>
      <c r="H8" s="4">
        <f>13/100*30</f>
        <v>3.9000000000000004</v>
      </c>
      <c r="I8" s="4">
        <f>6/100*30</f>
        <v>1.7999999999999998</v>
      </c>
      <c r="J8" s="258">
        <f>66/100*30</f>
        <v>19.8</v>
      </c>
      <c r="K8" s="275">
        <f>370/100*30</f>
        <v>111</v>
      </c>
      <c r="L8" s="259"/>
      <c r="M8" s="4">
        <v>0</v>
      </c>
      <c r="N8" s="5"/>
    </row>
    <row r="9" spans="1:14" ht="15.75" thickBot="1">
      <c r="A9" s="297"/>
      <c r="B9" s="280" t="s">
        <v>46</v>
      </c>
      <c r="C9" s="281"/>
      <c r="D9" s="281"/>
      <c r="E9" s="257">
        <v>150</v>
      </c>
      <c r="F9" s="257">
        <v>150</v>
      </c>
      <c r="G9" s="257"/>
      <c r="H9" s="257">
        <f>2.8/100*150</f>
        <v>4.1999999999999993</v>
      </c>
      <c r="I9" s="257">
        <f>2.5/100*150</f>
        <v>3.75</v>
      </c>
      <c r="J9" s="257">
        <f>4.7/100*150</f>
        <v>7.05</v>
      </c>
      <c r="K9" s="89">
        <f>55/100*150</f>
        <v>82.5</v>
      </c>
      <c r="L9" s="8"/>
      <c r="M9" s="257">
        <f>1/100*150</f>
        <v>1.5</v>
      </c>
      <c r="N9" s="257"/>
    </row>
    <row r="10" spans="1:14" ht="15.75" thickBot="1">
      <c r="A10" s="297"/>
      <c r="B10" s="280" t="s">
        <v>48</v>
      </c>
      <c r="C10" s="281"/>
      <c r="D10" s="281"/>
      <c r="E10" s="257">
        <v>5</v>
      </c>
      <c r="F10" s="257">
        <v>5</v>
      </c>
      <c r="G10" s="257"/>
      <c r="H10" s="257">
        <v>0</v>
      </c>
      <c r="I10" s="257">
        <v>0</v>
      </c>
      <c r="J10" s="257">
        <f>100/100*5</f>
        <v>5</v>
      </c>
      <c r="K10" s="89">
        <f>400/100*5</f>
        <v>20</v>
      </c>
      <c r="L10" s="8"/>
      <c r="M10" s="257">
        <v>0</v>
      </c>
      <c r="N10" s="257"/>
    </row>
    <row r="11" spans="1:14" ht="15.75" thickBot="1">
      <c r="A11" s="297"/>
      <c r="B11" s="280" t="s">
        <v>47</v>
      </c>
      <c r="C11" s="281"/>
      <c r="D11" s="281"/>
      <c r="E11" s="257">
        <v>5</v>
      </c>
      <c r="F11" s="257">
        <v>5</v>
      </c>
      <c r="G11" s="257"/>
      <c r="H11" s="257">
        <f>0.4/100*5</f>
        <v>0.02</v>
      </c>
      <c r="I11" s="257">
        <f>78.5/100*5</f>
        <v>3.9250000000000003</v>
      </c>
      <c r="J11" s="257">
        <f>0.5/100*5</f>
        <v>2.5000000000000001E-2</v>
      </c>
      <c r="K11" s="218">
        <f>734/100*5</f>
        <v>36.700000000000003</v>
      </c>
      <c r="L11" s="262"/>
      <c r="M11" s="257">
        <f>0.6/100*5</f>
        <v>0.03</v>
      </c>
      <c r="N11" s="257"/>
    </row>
    <row r="12" spans="1:14" ht="15.75" thickBot="1">
      <c r="A12" s="297"/>
      <c r="B12" s="278" t="s">
        <v>23</v>
      </c>
      <c r="C12" s="279"/>
      <c r="D12" s="279"/>
      <c r="E12" s="198"/>
      <c r="F12" s="199"/>
      <c r="G12" s="70">
        <v>5</v>
      </c>
      <c r="H12" s="4">
        <f>0.4/100*5</f>
        <v>0.02</v>
      </c>
      <c r="I12" s="4">
        <f>78.5/100*5</f>
        <v>3.9250000000000003</v>
      </c>
      <c r="J12" s="4">
        <f>0.5/100*5</f>
        <v>2.5000000000000001E-2</v>
      </c>
      <c r="K12" s="179">
        <f>734/100*5</f>
        <v>36.700000000000003</v>
      </c>
      <c r="L12" s="180"/>
      <c r="M12" s="4">
        <f>0.6/100*5</f>
        <v>0.03</v>
      </c>
      <c r="N12" s="5"/>
    </row>
    <row r="13" spans="1:14" ht="15.75" thickBot="1">
      <c r="A13" s="297"/>
      <c r="B13" s="278" t="s">
        <v>207</v>
      </c>
      <c r="C13" s="279"/>
      <c r="D13" s="279"/>
      <c r="E13" s="164"/>
      <c r="F13" s="165"/>
      <c r="G13" s="183">
        <v>30</v>
      </c>
      <c r="H13" s="168">
        <f>7/100*30</f>
        <v>2.1</v>
      </c>
      <c r="I13" s="168">
        <f>1/100*30</f>
        <v>0.3</v>
      </c>
      <c r="J13" s="168">
        <f>47/100*30</f>
        <v>14.1</v>
      </c>
      <c r="K13" s="179">
        <f>230/100*30</f>
        <v>69</v>
      </c>
      <c r="L13" s="174"/>
      <c r="M13" s="168">
        <v>0</v>
      </c>
      <c r="N13" s="5"/>
    </row>
    <row r="14" spans="1:14" ht="15.75" thickBot="1">
      <c r="A14" s="297"/>
      <c r="B14" s="278" t="s">
        <v>179</v>
      </c>
      <c r="C14" s="279"/>
      <c r="D14" s="279"/>
      <c r="E14" s="261"/>
      <c r="F14" s="262"/>
      <c r="G14" s="266">
        <v>180</v>
      </c>
      <c r="H14" s="257"/>
      <c r="I14" s="257"/>
      <c r="J14" s="257"/>
      <c r="K14" s="7"/>
      <c r="L14" s="8"/>
      <c r="M14" s="257"/>
      <c r="N14" s="257"/>
    </row>
    <row r="15" spans="1:14" ht="15.75" thickBot="1">
      <c r="A15" s="297"/>
      <c r="B15" s="280" t="s">
        <v>76</v>
      </c>
      <c r="C15" s="281"/>
      <c r="D15" s="281"/>
      <c r="E15" s="257">
        <v>1.2</v>
      </c>
      <c r="F15" s="257">
        <v>1.2</v>
      </c>
      <c r="G15" s="257"/>
      <c r="H15" s="4">
        <f>9.9/100*1.2</f>
        <v>0.1188</v>
      </c>
      <c r="I15" s="4">
        <f>2.5/100*1.2</f>
        <v>0.03</v>
      </c>
      <c r="J15" s="4">
        <f>57.8/100*1.2</f>
        <v>0.69359999999999988</v>
      </c>
      <c r="K15" s="275">
        <f>294/100*1.2</f>
        <v>3.528</v>
      </c>
      <c r="L15" s="276"/>
      <c r="M15" s="4">
        <v>0</v>
      </c>
      <c r="N15" s="5"/>
    </row>
    <row r="16" spans="1:14" ht="15.75" thickBot="1">
      <c r="A16" s="297"/>
      <c r="B16" s="280" t="s">
        <v>46</v>
      </c>
      <c r="C16" s="281"/>
      <c r="D16" s="281"/>
      <c r="E16" s="257">
        <v>150</v>
      </c>
      <c r="F16" s="257">
        <v>150</v>
      </c>
      <c r="G16" s="257"/>
      <c r="H16" s="257">
        <f>2.8/100*150</f>
        <v>4.1999999999999993</v>
      </c>
      <c r="I16" s="257">
        <f>2.5/100*150</f>
        <v>3.75</v>
      </c>
      <c r="J16" s="257">
        <f>4.7/100*150</f>
        <v>7.05</v>
      </c>
      <c r="K16" s="89">
        <f>55/100*150</f>
        <v>82.5</v>
      </c>
      <c r="L16" s="8"/>
      <c r="M16" s="257">
        <f>1/100*150</f>
        <v>1.5</v>
      </c>
      <c r="N16" s="5"/>
    </row>
    <row r="17" spans="1:16" ht="15.75" thickBot="1">
      <c r="A17" s="226"/>
      <c r="B17" s="280" t="s">
        <v>47</v>
      </c>
      <c r="C17" s="281"/>
      <c r="D17" s="281"/>
      <c r="E17" s="257">
        <v>10</v>
      </c>
      <c r="F17" s="257">
        <v>10</v>
      </c>
      <c r="G17" s="257"/>
      <c r="H17" s="4">
        <v>0</v>
      </c>
      <c r="I17" s="4">
        <v>0</v>
      </c>
      <c r="J17" s="4">
        <f>100/100*10</f>
        <v>10</v>
      </c>
      <c r="K17" s="275">
        <f>400/100*10</f>
        <v>40</v>
      </c>
      <c r="L17" s="259"/>
      <c r="M17" s="4">
        <v>0</v>
      </c>
      <c r="N17" s="5"/>
    </row>
    <row r="18" spans="1:16" ht="15.75" thickBot="1">
      <c r="A18" s="296" t="s">
        <v>5</v>
      </c>
      <c r="B18" s="278" t="s">
        <v>199</v>
      </c>
      <c r="C18" s="279"/>
      <c r="D18" s="279"/>
      <c r="E18" s="279"/>
      <c r="F18" s="298"/>
      <c r="G18" s="66">
        <v>60</v>
      </c>
      <c r="H18" s="3"/>
      <c r="I18" s="3"/>
      <c r="J18" s="3"/>
      <c r="K18" s="287"/>
      <c r="L18" s="288"/>
      <c r="M18" s="3"/>
      <c r="N18" s="5"/>
    </row>
    <row r="19" spans="1:16" ht="15.75" thickBot="1">
      <c r="A19" s="297"/>
      <c r="B19" s="277" t="s">
        <v>222</v>
      </c>
      <c r="C19" s="277"/>
      <c r="D19" s="277"/>
      <c r="E19" s="15">
        <v>70</v>
      </c>
      <c r="F19" s="15">
        <v>50</v>
      </c>
      <c r="G19" s="73"/>
      <c r="H19" s="3">
        <f>0.8/100*50</f>
        <v>0.4</v>
      </c>
      <c r="I19" s="3">
        <v>0</v>
      </c>
      <c r="J19" s="3">
        <f>8.3/100*50</f>
        <v>4.1500000000000004</v>
      </c>
      <c r="K19" s="275">
        <f>37/100*50</f>
        <v>18.5</v>
      </c>
      <c r="L19" s="259"/>
      <c r="M19" s="3">
        <f>8/100*50</f>
        <v>4</v>
      </c>
      <c r="N19" s="5"/>
    </row>
    <row r="20" spans="1:16" ht="15.75" thickBot="1">
      <c r="A20" s="297"/>
      <c r="B20" s="277" t="s">
        <v>39</v>
      </c>
      <c r="C20" s="277"/>
      <c r="D20" s="277"/>
      <c r="E20" s="15">
        <v>2.1</v>
      </c>
      <c r="F20" s="15">
        <v>2</v>
      </c>
      <c r="G20" s="73"/>
      <c r="H20" s="3">
        <f>6.5/100*2</f>
        <v>0.13</v>
      </c>
      <c r="I20" s="3">
        <f>0.5/100*2</f>
        <v>0.01</v>
      </c>
      <c r="J20" s="3">
        <f>29.9/100*2</f>
        <v>0.59799999999999998</v>
      </c>
      <c r="K20" s="268">
        <f>142/100*2</f>
        <v>2.84</v>
      </c>
      <c r="L20" s="271"/>
      <c r="M20" s="3">
        <f>31.2/100*2</f>
        <v>0.624</v>
      </c>
      <c r="N20" s="5"/>
    </row>
    <row r="21" spans="1:16" ht="15.75" thickBot="1">
      <c r="A21" s="297"/>
      <c r="B21" s="277" t="s">
        <v>211</v>
      </c>
      <c r="C21" s="277"/>
      <c r="D21" s="277"/>
      <c r="E21" s="15">
        <v>3</v>
      </c>
      <c r="F21" s="15">
        <v>3</v>
      </c>
      <c r="G21" s="73"/>
      <c r="H21" s="1">
        <v>0</v>
      </c>
      <c r="I21" s="1">
        <f>99.9/100*3</f>
        <v>2.9970000000000003</v>
      </c>
      <c r="J21" s="1">
        <v>0</v>
      </c>
      <c r="K21" s="275">
        <f>900/100*3</f>
        <v>27</v>
      </c>
      <c r="L21" s="259"/>
      <c r="M21" s="1">
        <v>0</v>
      </c>
      <c r="N21" s="5"/>
    </row>
    <row r="22" spans="1:16" ht="15.75" thickBot="1">
      <c r="A22" s="297"/>
      <c r="B22" s="278" t="s">
        <v>196</v>
      </c>
      <c r="C22" s="279"/>
      <c r="D22" s="279"/>
      <c r="E22" s="279"/>
      <c r="F22" s="298"/>
      <c r="G22" s="137">
        <v>250</v>
      </c>
      <c r="H22" s="3"/>
      <c r="I22" s="3"/>
      <c r="J22" s="3"/>
      <c r="K22" s="287"/>
      <c r="L22" s="288"/>
      <c r="M22" s="3"/>
      <c r="N22" s="5"/>
    </row>
    <row r="23" spans="1:16" ht="15.75" thickBot="1">
      <c r="A23" s="297"/>
      <c r="B23" s="277" t="s">
        <v>28</v>
      </c>
      <c r="C23" s="277"/>
      <c r="D23" s="277"/>
      <c r="E23" s="15">
        <v>20</v>
      </c>
      <c r="F23" s="15">
        <v>20</v>
      </c>
      <c r="G23" s="142"/>
      <c r="H23" s="3">
        <f>18.9/100*20</f>
        <v>3.7799999999999994</v>
      </c>
      <c r="I23" s="3">
        <f>12.4/100*20</f>
        <v>2.48</v>
      </c>
      <c r="J23" s="3">
        <v>0</v>
      </c>
      <c r="K23" s="258">
        <f>187/100*20</f>
        <v>37.400000000000006</v>
      </c>
      <c r="L23" s="259"/>
      <c r="M23" s="3">
        <v>0</v>
      </c>
      <c r="N23" s="5"/>
    </row>
    <row r="24" spans="1:16" ht="15.75" thickBot="1">
      <c r="A24" s="297"/>
      <c r="B24" s="277" t="s">
        <v>33</v>
      </c>
      <c r="C24" s="277"/>
      <c r="D24" s="277"/>
      <c r="E24" s="15">
        <v>130</v>
      </c>
      <c r="F24" s="15">
        <v>107.5</v>
      </c>
      <c r="G24" s="142"/>
      <c r="H24" s="3">
        <f>1.2/100*107.5</f>
        <v>1.29</v>
      </c>
      <c r="I24" s="3">
        <v>0</v>
      </c>
      <c r="J24" s="3">
        <f>14/100*107.5</f>
        <v>15.05</v>
      </c>
      <c r="K24" s="270">
        <f>62/100*107.5</f>
        <v>66.650000000000006</v>
      </c>
      <c r="L24" s="271"/>
      <c r="M24" s="3">
        <f>7.5/100*107.5</f>
        <v>8.0625</v>
      </c>
      <c r="N24" s="5"/>
    </row>
    <row r="25" spans="1:16" ht="15.75" thickBot="1">
      <c r="A25" s="297"/>
      <c r="B25" s="277" t="s">
        <v>34</v>
      </c>
      <c r="C25" s="277"/>
      <c r="D25" s="277"/>
      <c r="E25" s="15">
        <v>7</v>
      </c>
      <c r="F25" s="15">
        <v>5</v>
      </c>
      <c r="G25" s="142"/>
      <c r="H25" s="3">
        <f>0.2/100*5</f>
        <v>0.01</v>
      </c>
      <c r="I25" s="3">
        <v>0</v>
      </c>
      <c r="J25" s="3">
        <f>10/100*5</f>
        <v>0.5</v>
      </c>
      <c r="K25" s="270">
        <f>42/100*5</f>
        <v>2.1</v>
      </c>
      <c r="L25" s="271"/>
      <c r="M25" s="3">
        <f>8.5/100*5</f>
        <v>0.42500000000000004</v>
      </c>
      <c r="N25" s="5"/>
    </row>
    <row r="26" spans="1:16" ht="15.75" thickBot="1">
      <c r="A26" s="297"/>
      <c r="B26" s="277" t="s">
        <v>35</v>
      </c>
      <c r="C26" s="277"/>
      <c r="D26" s="277"/>
      <c r="E26" s="15">
        <v>7</v>
      </c>
      <c r="F26" s="15">
        <v>5</v>
      </c>
      <c r="G26" s="142"/>
      <c r="H26" s="3">
        <f>1/100*5</f>
        <v>0.05</v>
      </c>
      <c r="I26" s="3">
        <v>0</v>
      </c>
      <c r="J26" s="3">
        <f>6.1/100*5</f>
        <v>0.30499999999999999</v>
      </c>
      <c r="K26" s="270">
        <f>29/100*5</f>
        <v>1.45</v>
      </c>
      <c r="L26" s="271"/>
      <c r="M26" s="3">
        <f>4/100*5</f>
        <v>0.2</v>
      </c>
      <c r="N26" s="5"/>
    </row>
    <row r="27" spans="1:16" ht="15.75" thickBot="1">
      <c r="A27" s="297"/>
      <c r="B27" s="280" t="s">
        <v>23</v>
      </c>
      <c r="C27" s="281"/>
      <c r="D27" s="281"/>
      <c r="E27" s="15">
        <v>2</v>
      </c>
      <c r="F27" s="15">
        <v>2</v>
      </c>
      <c r="G27" s="142"/>
      <c r="H27" s="3">
        <f>0.4/100*2</f>
        <v>8.0000000000000002E-3</v>
      </c>
      <c r="I27" s="3">
        <f>78.5/100*2</f>
        <v>1.57</v>
      </c>
      <c r="J27" s="3">
        <f>0.5/100*2</f>
        <v>0.01</v>
      </c>
      <c r="K27" s="270">
        <f>734/100*2</f>
        <v>14.68</v>
      </c>
      <c r="L27" s="271"/>
      <c r="M27" s="3">
        <f>0.6/100*2</f>
        <v>1.2E-2</v>
      </c>
      <c r="N27" s="5"/>
    </row>
    <row r="28" spans="1:16" ht="15.75" thickBot="1">
      <c r="A28" s="297"/>
      <c r="B28" s="277" t="s">
        <v>36</v>
      </c>
      <c r="C28" s="277"/>
      <c r="D28" s="277"/>
      <c r="E28" s="15">
        <v>2</v>
      </c>
      <c r="F28" s="15">
        <v>2</v>
      </c>
      <c r="G28" s="142"/>
      <c r="H28" s="3">
        <v>0</v>
      </c>
      <c r="I28" s="3">
        <f>99.9/100*2</f>
        <v>1.9980000000000002</v>
      </c>
      <c r="J28" s="3">
        <v>0</v>
      </c>
      <c r="K28" s="270">
        <f>900/100*2</f>
        <v>18</v>
      </c>
      <c r="L28" s="271"/>
      <c r="M28" s="3">
        <v>0</v>
      </c>
      <c r="N28" s="5"/>
    </row>
    <row r="29" spans="1:16" ht="15.75" thickBot="1">
      <c r="A29" s="297"/>
      <c r="B29" s="277" t="s">
        <v>37</v>
      </c>
      <c r="C29" s="277"/>
      <c r="D29" s="277"/>
      <c r="E29" s="15">
        <v>8</v>
      </c>
      <c r="F29" s="15">
        <v>8</v>
      </c>
      <c r="G29" s="142"/>
      <c r="H29" s="3">
        <f>2.6/100*8</f>
        <v>0.20800000000000002</v>
      </c>
      <c r="I29" s="3">
        <f>15/100*8</f>
        <v>1.2</v>
      </c>
      <c r="J29" s="3">
        <f>3.6/100*8</f>
        <v>0.28800000000000003</v>
      </c>
      <c r="K29" s="258">
        <f>160/100*8</f>
        <v>12.8</v>
      </c>
      <c r="L29" s="259"/>
      <c r="M29" s="3">
        <v>0</v>
      </c>
      <c r="N29" s="5"/>
      <c r="P29" s="27"/>
    </row>
    <row r="30" spans="1:16" ht="15.75" thickBot="1">
      <c r="A30" s="297"/>
      <c r="B30" s="277" t="s">
        <v>50</v>
      </c>
      <c r="C30" s="277"/>
      <c r="D30" s="277"/>
      <c r="E30" s="15">
        <v>10</v>
      </c>
      <c r="F30" s="15">
        <v>10</v>
      </c>
      <c r="G30" s="142"/>
      <c r="H30" s="3">
        <f>12.7/100*10</f>
        <v>1.27</v>
      </c>
      <c r="I30" s="3">
        <f>11.5/100*10</f>
        <v>1.1500000000000001</v>
      </c>
      <c r="J30" s="3">
        <f>0.7/100*10</f>
        <v>6.9999999999999993E-2</v>
      </c>
      <c r="K30" s="258">
        <f>241/100*10</f>
        <v>24.1</v>
      </c>
      <c r="L30" s="259"/>
      <c r="M30" s="3">
        <v>0</v>
      </c>
      <c r="N30" s="5"/>
    </row>
    <row r="31" spans="1:16" ht="15.75" thickBot="1">
      <c r="A31" s="297"/>
      <c r="B31" s="280"/>
      <c r="C31" s="283"/>
      <c r="D31" s="284"/>
      <c r="E31" s="168">
        <v>16</v>
      </c>
      <c r="F31" s="168">
        <v>10</v>
      </c>
      <c r="G31" s="68"/>
      <c r="H31" s="4">
        <f>1/100*10</f>
        <v>0.1</v>
      </c>
      <c r="I31" s="4">
        <v>0</v>
      </c>
      <c r="J31" s="4">
        <f>6.1/100*10</f>
        <v>0.61</v>
      </c>
      <c r="K31" s="171">
        <f>29/100*10</f>
        <v>2.9</v>
      </c>
      <c r="L31" s="170"/>
      <c r="M31" s="4">
        <f>4/100*10</f>
        <v>0.4</v>
      </c>
      <c r="N31" s="68"/>
    </row>
    <row r="32" spans="1:16" ht="15.75" thickBot="1">
      <c r="A32" s="297"/>
      <c r="B32" s="278" t="s">
        <v>257</v>
      </c>
      <c r="C32" s="279"/>
      <c r="D32" s="279"/>
      <c r="E32" s="220"/>
      <c r="F32" s="21"/>
      <c r="G32" s="137">
        <v>200</v>
      </c>
      <c r="H32" s="3"/>
      <c r="I32" s="3"/>
      <c r="J32" s="3"/>
      <c r="K32" s="270"/>
      <c r="L32" s="271"/>
      <c r="M32" s="3"/>
      <c r="N32" s="5"/>
    </row>
    <row r="33" spans="1:17" ht="15.75" thickBot="1">
      <c r="A33" s="297"/>
      <c r="B33" s="280" t="s">
        <v>83</v>
      </c>
      <c r="C33" s="281"/>
      <c r="D33" s="282"/>
      <c r="E33" s="15">
        <v>52</v>
      </c>
      <c r="F33" s="15">
        <v>52</v>
      </c>
      <c r="G33" s="137"/>
      <c r="H33" s="3">
        <f>9.3/100*52</f>
        <v>4.8360000000000003</v>
      </c>
      <c r="I33" s="3">
        <f>1.14/100*52</f>
        <v>0.59279999999999988</v>
      </c>
      <c r="J33" s="3">
        <f>68/100*52</f>
        <v>35.36</v>
      </c>
      <c r="K33" s="268">
        <f>320/100*52</f>
        <v>166.4</v>
      </c>
      <c r="L33" s="269"/>
      <c r="M33" s="3">
        <v>0</v>
      </c>
      <c r="N33" s="5"/>
    </row>
    <row r="34" spans="1:17" ht="15.75" thickBot="1">
      <c r="A34" s="297"/>
      <c r="B34" s="280" t="s">
        <v>48</v>
      </c>
      <c r="C34" s="281"/>
      <c r="D34" s="282"/>
      <c r="E34" s="15">
        <v>7</v>
      </c>
      <c r="F34" s="15">
        <v>7</v>
      </c>
      <c r="G34" s="137"/>
      <c r="H34" s="3">
        <f>0.4/100*7</f>
        <v>2.8000000000000001E-2</v>
      </c>
      <c r="I34" s="3">
        <f>78.5/100*7</f>
        <v>5.4950000000000001</v>
      </c>
      <c r="J34" s="3">
        <f>0.5/100*7</f>
        <v>3.5000000000000003E-2</v>
      </c>
      <c r="K34" s="268">
        <f>734/100*7</f>
        <v>51.379999999999995</v>
      </c>
      <c r="L34" s="269"/>
      <c r="M34" s="3">
        <f>0.6/100*7</f>
        <v>4.2000000000000003E-2</v>
      </c>
      <c r="N34" s="5"/>
    </row>
    <row r="35" spans="1:17" ht="15.75" thickBot="1">
      <c r="A35" s="297"/>
      <c r="B35" s="280" t="s">
        <v>28</v>
      </c>
      <c r="C35" s="281"/>
      <c r="D35" s="282"/>
      <c r="E35" s="15">
        <v>60</v>
      </c>
      <c r="F35" s="15">
        <v>60</v>
      </c>
      <c r="G35" s="137"/>
      <c r="H35" s="3">
        <f>18.9/100*60</f>
        <v>11.339999999999998</v>
      </c>
      <c r="I35" s="3">
        <f>12.4/100*60</f>
        <v>7.4399999999999995</v>
      </c>
      <c r="J35" s="3">
        <v>0</v>
      </c>
      <c r="K35" s="275">
        <f>187/100*60</f>
        <v>112.2</v>
      </c>
      <c r="L35" s="276"/>
      <c r="M35" s="3">
        <v>0</v>
      </c>
      <c r="N35" s="5"/>
    </row>
    <row r="36" spans="1:17" ht="15.75" thickBot="1">
      <c r="A36" s="297"/>
      <c r="B36" s="280" t="s">
        <v>55</v>
      </c>
      <c r="C36" s="281"/>
      <c r="D36" s="282"/>
      <c r="E36" s="15">
        <v>16</v>
      </c>
      <c r="F36" s="15">
        <v>10</v>
      </c>
      <c r="G36" s="137"/>
      <c r="H36" s="3">
        <f>1/100*10</f>
        <v>0.1</v>
      </c>
      <c r="I36" s="3">
        <v>0</v>
      </c>
      <c r="J36" s="3">
        <f>6.1/100*10</f>
        <v>0.61</v>
      </c>
      <c r="K36" s="268">
        <f>29/100*10</f>
        <v>2.9</v>
      </c>
      <c r="L36" s="269"/>
      <c r="M36" s="3">
        <f>4/100*10</f>
        <v>0.4</v>
      </c>
      <c r="N36" s="5"/>
    </row>
    <row r="37" spans="1:17" ht="15.75" thickBot="1">
      <c r="A37" s="297"/>
      <c r="B37" s="280" t="s">
        <v>54</v>
      </c>
      <c r="C37" s="281"/>
      <c r="D37" s="282"/>
      <c r="E37" s="15">
        <v>12</v>
      </c>
      <c r="F37" s="15">
        <v>10</v>
      </c>
      <c r="G37" s="137"/>
      <c r="H37" s="3">
        <f>0.2/100*10</f>
        <v>0.02</v>
      </c>
      <c r="I37" s="3">
        <v>0</v>
      </c>
      <c r="J37" s="3">
        <f>10/100*10</f>
        <v>1</v>
      </c>
      <c r="K37" s="268">
        <f>42/100*10</f>
        <v>4.2</v>
      </c>
      <c r="L37" s="269"/>
      <c r="M37" s="3">
        <f>8.5/100*10</f>
        <v>0.85000000000000009</v>
      </c>
      <c r="N37" s="5"/>
    </row>
    <row r="38" spans="1:17" ht="15.75" thickBot="1">
      <c r="A38" s="297"/>
      <c r="B38" s="280" t="s">
        <v>60</v>
      </c>
      <c r="C38" s="281"/>
      <c r="D38" s="282"/>
      <c r="E38" s="15">
        <v>2</v>
      </c>
      <c r="F38" s="15">
        <v>2</v>
      </c>
      <c r="G38" s="137"/>
      <c r="H38" s="1">
        <v>0</v>
      </c>
      <c r="I38" s="1">
        <f>99.9/100*2</f>
        <v>1.9980000000000002</v>
      </c>
      <c r="J38" s="1">
        <v>0</v>
      </c>
      <c r="K38" s="275">
        <f>900/100*2</f>
        <v>18</v>
      </c>
      <c r="L38" s="276"/>
      <c r="M38" s="1">
        <v>0</v>
      </c>
      <c r="N38" s="5"/>
    </row>
    <row r="39" spans="1:17" ht="15.75" thickBot="1">
      <c r="A39" s="297"/>
      <c r="B39" s="160" t="s">
        <v>40</v>
      </c>
      <c r="C39" s="34"/>
      <c r="D39" s="34"/>
      <c r="E39" s="178"/>
      <c r="F39" s="21"/>
      <c r="G39" s="137">
        <v>180</v>
      </c>
      <c r="H39" s="1"/>
      <c r="I39" s="1"/>
      <c r="J39" s="1"/>
      <c r="K39" s="19"/>
      <c r="L39" s="20"/>
      <c r="M39" s="168"/>
      <c r="N39" s="5"/>
    </row>
    <row r="40" spans="1:17" ht="15.75" thickBot="1">
      <c r="A40" s="297"/>
      <c r="B40" s="277" t="s">
        <v>41</v>
      </c>
      <c r="C40" s="277"/>
      <c r="D40" s="277"/>
      <c r="E40" s="15">
        <v>11</v>
      </c>
      <c r="F40" s="15">
        <v>16.5</v>
      </c>
      <c r="G40" s="3"/>
      <c r="H40" s="4">
        <f>0.63/100*16.5</f>
        <v>0.10395</v>
      </c>
      <c r="I40" s="4">
        <v>0</v>
      </c>
      <c r="J40" s="4">
        <f>10.06/100*16.5</f>
        <v>1.6599000000000002</v>
      </c>
      <c r="K40" s="179">
        <f>40.87/100*16.5</f>
        <v>6.743549999999999</v>
      </c>
      <c r="L40" s="174"/>
      <c r="M40" s="4">
        <f>0.46/100*16.5</f>
        <v>7.5899999999999995E-2</v>
      </c>
      <c r="N40" s="5"/>
    </row>
    <row r="41" spans="1:17" ht="15.75" thickBot="1">
      <c r="A41" s="297"/>
      <c r="B41" s="280" t="s">
        <v>24</v>
      </c>
      <c r="C41" s="281"/>
      <c r="D41" s="281"/>
      <c r="E41" s="15">
        <v>10</v>
      </c>
      <c r="F41" s="15">
        <v>10</v>
      </c>
      <c r="G41" s="5"/>
      <c r="H41" s="4">
        <v>0</v>
      </c>
      <c r="I41" s="4">
        <v>0</v>
      </c>
      <c r="J41" s="4">
        <f>100/100*10</f>
        <v>10</v>
      </c>
      <c r="K41" s="179">
        <f>400/100*15</f>
        <v>60</v>
      </c>
      <c r="L41" s="174"/>
      <c r="M41" s="4">
        <v>0</v>
      </c>
      <c r="N41" s="5"/>
    </row>
    <row r="42" spans="1:17" ht="13.5" customHeight="1" thickBot="1">
      <c r="A42" s="306"/>
      <c r="B42" s="278" t="s">
        <v>246</v>
      </c>
      <c r="C42" s="279"/>
      <c r="D42" s="279"/>
      <c r="E42" s="164"/>
      <c r="F42" s="165"/>
      <c r="G42" s="66">
        <v>50</v>
      </c>
      <c r="H42" s="4">
        <f>7/100*50</f>
        <v>3.5000000000000004</v>
      </c>
      <c r="I42" s="4">
        <f>1/100*50</f>
        <v>0.5</v>
      </c>
      <c r="J42" s="4">
        <f>46/100*50</f>
        <v>23</v>
      </c>
      <c r="K42" s="179">
        <f>200/100*50</f>
        <v>100</v>
      </c>
      <c r="L42" s="174"/>
      <c r="M42" s="4">
        <v>0</v>
      </c>
      <c r="N42" s="5"/>
      <c r="P42" s="25"/>
    </row>
    <row r="43" spans="1:17" ht="15.75" thickBot="1">
      <c r="A43" s="296" t="s">
        <v>6</v>
      </c>
      <c r="B43" s="12" t="s">
        <v>42</v>
      </c>
      <c r="C43" s="13"/>
      <c r="D43" s="13"/>
      <c r="E43" s="220"/>
      <c r="F43" s="21"/>
      <c r="G43" s="66">
        <v>20</v>
      </c>
      <c r="H43" s="3">
        <f>5/100*20</f>
        <v>1</v>
      </c>
      <c r="I43" s="3">
        <f>5/100*20</f>
        <v>1</v>
      </c>
      <c r="J43" s="3">
        <f>71/100*20</f>
        <v>14.2</v>
      </c>
      <c r="K43" s="275">
        <f>360/100*20</f>
        <v>72</v>
      </c>
      <c r="L43" s="276"/>
      <c r="M43" s="4">
        <v>0</v>
      </c>
      <c r="N43" s="5"/>
    </row>
    <row r="44" spans="1:17" ht="15.75" thickBot="1">
      <c r="A44" s="306"/>
      <c r="B44" s="12" t="s">
        <v>22</v>
      </c>
      <c r="C44" s="13"/>
      <c r="D44" s="13"/>
      <c r="E44" s="178"/>
      <c r="F44" s="21"/>
      <c r="G44" s="66">
        <v>150</v>
      </c>
      <c r="H44" s="33">
        <f>2.8/100*150</f>
        <v>4.1999999999999993</v>
      </c>
      <c r="I44" s="33">
        <f>2.5/100*150</f>
        <v>3.75</v>
      </c>
      <c r="J44" s="33">
        <f>4.7/100*150</f>
        <v>7.05</v>
      </c>
      <c r="K44" s="89">
        <f>55/100*150</f>
        <v>82.5</v>
      </c>
      <c r="L44" s="8"/>
      <c r="M44" s="168">
        <f>1/100*150</f>
        <v>1.5</v>
      </c>
      <c r="N44" s="5"/>
      <c r="Q44" s="41"/>
    </row>
    <row r="45" spans="1:17" ht="15.75" thickBot="1">
      <c r="A45" s="293" t="s">
        <v>7</v>
      </c>
      <c r="B45" s="12" t="s">
        <v>192</v>
      </c>
      <c r="C45" s="13"/>
      <c r="D45" s="13"/>
      <c r="E45" s="15"/>
      <c r="F45" s="15"/>
      <c r="G45" s="137">
        <v>250</v>
      </c>
      <c r="H45" s="257"/>
      <c r="I45" s="257"/>
      <c r="J45" s="257"/>
      <c r="K45" s="7"/>
      <c r="L45" s="8"/>
      <c r="M45" s="257"/>
      <c r="N45" s="5"/>
    </row>
    <row r="46" spans="1:17" ht="15.75" thickBot="1">
      <c r="A46" s="294"/>
      <c r="B46" s="12"/>
      <c r="C46" s="261" t="s">
        <v>235</v>
      </c>
      <c r="D46" s="13"/>
      <c r="E46" s="15">
        <v>20</v>
      </c>
      <c r="F46" s="15">
        <v>20</v>
      </c>
      <c r="G46" s="142"/>
      <c r="H46" s="3">
        <f>18.9/100*20</f>
        <v>3.7799999999999994</v>
      </c>
      <c r="I46" s="3">
        <v>2.48</v>
      </c>
      <c r="J46" s="3">
        <v>0</v>
      </c>
      <c r="K46" s="275">
        <v>37.4</v>
      </c>
      <c r="L46" s="259"/>
      <c r="M46" s="3">
        <v>0</v>
      </c>
      <c r="N46" s="5"/>
    </row>
    <row r="47" spans="1:17" ht="15.75" thickBot="1">
      <c r="A47" s="294"/>
      <c r="B47" s="12"/>
      <c r="C47" s="220" t="s">
        <v>238</v>
      </c>
      <c r="D47" s="13"/>
      <c r="E47" s="15">
        <v>21</v>
      </c>
      <c r="F47" s="15">
        <v>20</v>
      </c>
      <c r="G47" s="142"/>
      <c r="H47" s="3">
        <f>20.5/100*20</f>
        <v>4.0999999999999996</v>
      </c>
      <c r="I47" s="3">
        <f>2/100*20</f>
        <v>0.4</v>
      </c>
      <c r="J47" s="3">
        <f>44/100*20</f>
        <v>8.8000000000000007</v>
      </c>
      <c r="K47" s="268">
        <f>298/100*20</f>
        <v>59.6</v>
      </c>
      <c r="L47" s="271"/>
      <c r="M47" s="3">
        <f>3.9/100*20</f>
        <v>0.78</v>
      </c>
      <c r="N47" s="5"/>
    </row>
    <row r="48" spans="1:17" ht="15.75" thickBot="1">
      <c r="A48" s="294"/>
      <c r="B48" s="12"/>
      <c r="C48" s="261" t="s">
        <v>33</v>
      </c>
      <c r="D48" s="13"/>
      <c r="E48" s="15">
        <v>100</v>
      </c>
      <c r="F48" s="15">
        <v>87</v>
      </c>
      <c r="G48" s="142"/>
      <c r="H48" s="3">
        <f>1.2/100*87</f>
        <v>1.044</v>
      </c>
      <c r="I48" s="3">
        <v>0</v>
      </c>
      <c r="J48" s="3">
        <f>14/100*87</f>
        <v>12.180000000000001</v>
      </c>
      <c r="K48" s="268">
        <f>62/100*87</f>
        <v>53.94</v>
      </c>
      <c r="L48" s="271"/>
      <c r="M48" s="3">
        <f>7.5/100*87</f>
        <v>6.5249999999999995</v>
      </c>
      <c r="N48" s="5"/>
    </row>
    <row r="49" spans="1:16" ht="15.75" thickBot="1">
      <c r="A49" s="294"/>
      <c r="B49" s="277" t="s">
        <v>209</v>
      </c>
      <c r="C49" s="277"/>
      <c r="D49" s="277"/>
      <c r="E49" s="15">
        <v>7</v>
      </c>
      <c r="F49" s="15">
        <v>5</v>
      </c>
      <c r="G49" s="142"/>
      <c r="H49" s="3">
        <f>0.2/100*5</f>
        <v>0.01</v>
      </c>
      <c r="I49" s="3">
        <v>0</v>
      </c>
      <c r="J49" s="3">
        <f>10/100*5</f>
        <v>0.5</v>
      </c>
      <c r="K49" s="268">
        <f>42/100*5</f>
        <v>2.1</v>
      </c>
      <c r="L49" s="271"/>
      <c r="M49" s="3">
        <f>8.4/100*5</f>
        <v>0.42000000000000004</v>
      </c>
      <c r="N49" s="5"/>
    </row>
    <row r="50" spans="1:16" ht="15.75" thickBot="1">
      <c r="A50" s="294"/>
      <c r="B50" s="280" t="s">
        <v>35</v>
      </c>
      <c r="C50" s="281"/>
      <c r="D50" s="281"/>
      <c r="E50" s="15">
        <v>7</v>
      </c>
      <c r="F50" s="15">
        <v>5</v>
      </c>
      <c r="G50" s="142"/>
      <c r="H50" s="3">
        <f>1/100*5</f>
        <v>0.05</v>
      </c>
      <c r="I50" s="3">
        <v>0</v>
      </c>
      <c r="J50" s="3">
        <f>6.1/100*5</f>
        <v>0.30499999999999999</v>
      </c>
      <c r="K50" s="268">
        <f>29/100*5</f>
        <v>1.45</v>
      </c>
      <c r="L50" s="271"/>
      <c r="M50" s="3">
        <f>4/100*5</f>
        <v>0.2</v>
      </c>
      <c r="N50" s="5"/>
    </row>
    <row r="51" spans="1:16" ht="15.75" thickBot="1">
      <c r="A51" s="294"/>
      <c r="B51" s="280" t="s">
        <v>23</v>
      </c>
      <c r="C51" s="283"/>
      <c r="D51" s="284"/>
      <c r="E51" s="15">
        <v>2</v>
      </c>
      <c r="F51" s="15">
        <v>2</v>
      </c>
      <c r="G51" s="142"/>
      <c r="H51" s="3">
        <f>0.4/100*2</f>
        <v>8.0000000000000002E-3</v>
      </c>
      <c r="I51" s="3">
        <f>78.5/100*2</f>
        <v>1.57</v>
      </c>
      <c r="J51" s="3">
        <f>0.5/100*2</f>
        <v>0.01</v>
      </c>
      <c r="K51" s="275">
        <f>734/100*2</f>
        <v>14.68</v>
      </c>
      <c r="L51" s="276"/>
      <c r="M51" s="3">
        <v>0</v>
      </c>
      <c r="N51" s="5"/>
    </row>
    <row r="52" spans="1:16" ht="15.75" thickBot="1">
      <c r="A52" s="294"/>
      <c r="B52" s="277" t="s">
        <v>211</v>
      </c>
      <c r="C52" s="277"/>
      <c r="D52" s="277"/>
      <c r="E52" s="15">
        <v>2</v>
      </c>
      <c r="F52" s="15">
        <v>2</v>
      </c>
      <c r="G52" s="142"/>
      <c r="H52" s="1">
        <v>0</v>
      </c>
      <c r="I52" s="1">
        <f>99.9/100*2</f>
        <v>1.9980000000000002</v>
      </c>
      <c r="J52" s="1">
        <v>0</v>
      </c>
      <c r="K52" s="275">
        <f>900/100*2</f>
        <v>18</v>
      </c>
      <c r="L52" s="276"/>
      <c r="M52" s="1">
        <v>0</v>
      </c>
      <c r="N52" s="5"/>
    </row>
    <row r="53" spans="1:16" ht="15.75" thickBot="1">
      <c r="A53" s="294"/>
      <c r="B53" s="277" t="s">
        <v>37</v>
      </c>
      <c r="C53" s="277"/>
      <c r="D53" s="277"/>
      <c r="E53" s="15">
        <v>4</v>
      </c>
      <c r="F53" s="15">
        <v>4</v>
      </c>
      <c r="G53" s="142"/>
      <c r="H53" s="1">
        <f>2.6/100*4</f>
        <v>0.10400000000000001</v>
      </c>
      <c r="I53" s="1">
        <f>15/100*4</f>
        <v>0.6</v>
      </c>
      <c r="J53" s="1">
        <f>3.6/100*4</f>
        <v>0.14400000000000002</v>
      </c>
      <c r="K53" s="275">
        <f>160/100*4</f>
        <v>6.4</v>
      </c>
      <c r="L53" s="259"/>
      <c r="M53" s="1">
        <v>0</v>
      </c>
      <c r="N53" s="5"/>
    </row>
    <row r="54" spans="1:16" ht="15.75" thickBot="1">
      <c r="A54" s="294"/>
      <c r="B54" s="278" t="s">
        <v>193</v>
      </c>
      <c r="C54" s="279"/>
      <c r="D54" s="298"/>
      <c r="E54" s="15">
        <v>30</v>
      </c>
      <c r="F54" s="15"/>
      <c r="G54" s="137">
        <v>20</v>
      </c>
      <c r="H54" s="3">
        <f>7/100*20</f>
        <v>1.4000000000000001</v>
      </c>
      <c r="I54" s="3">
        <f>1/100*20</f>
        <v>0.2</v>
      </c>
      <c r="J54" s="3">
        <f>47/100*20</f>
        <v>9.3999999999999986</v>
      </c>
      <c r="K54" s="275">
        <f>230/100*20</f>
        <v>46</v>
      </c>
      <c r="L54" s="259"/>
      <c r="M54" s="3">
        <v>0</v>
      </c>
      <c r="N54" s="5"/>
    </row>
    <row r="55" spans="1:16" ht="15.75" thickBot="1">
      <c r="A55" s="294"/>
      <c r="B55" s="278" t="s">
        <v>244</v>
      </c>
      <c r="C55" s="279"/>
      <c r="D55" s="279"/>
      <c r="E55" s="178"/>
      <c r="F55" s="21"/>
      <c r="G55" s="137">
        <v>180</v>
      </c>
      <c r="H55" s="3"/>
      <c r="I55" s="3"/>
      <c r="J55" s="3"/>
      <c r="K55" s="171"/>
      <c r="L55" s="172"/>
      <c r="M55" s="4"/>
      <c r="N55" s="5"/>
      <c r="P55" s="25"/>
    </row>
    <row r="56" spans="1:16" ht="15.75" thickBot="1">
      <c r="A56" s="294"/>
      <c r="B56" s="277" t="s">
        <v>62</v>
      </c>
      <c r="C56" s="277"/>
      <c r="D56" s="277"/>
      <c r="E56" s="15">
        <v>0.6</v>
      </c>
      <c r="F56" s="15">
        <v>0.6</v>
      </c>
      <c r="G56" s="33"/>
      <c r="H56" s="4">
        <f>20/100*0.6</f>
        <v>0.12</v>
      </c>
      <c r="I56" s="4">
        <v>0</v>
      </c>
      <c r="J56" s="4">
        <f>6.9/100*0.6</f>
        <v>4.1399999999999999E-2</v>
      </c>
      <c r="K56" s="179">
        <f>109/100*0.6</f>
        <v>0.65400000000000003</v>
      </c>
      <c r="L56" s="180"/>
      <c r="M56" s="4">
        <f>10/100*0.6</f>
        <v>0.06</v>
      </c>
      <c r="N56" s="5"/>
    </row>
    <row r="57" spans="1:16" ht="15.75" thickBot="1">
      <c r="A57" s="295"/>
      <c r="B57" s="23"/>
      <c r="C57" s="34" t="s">
        <v>47</v>
      </c>
      <c r="D57" s="34"/>
      <c r="E57" s="15">
        <v>8</v>
      </c>
      <c r="F57" s="15">
        <v>8</v>
      </c>
      <c r="G57" s="1"/>
      <c r="H57" s="4">
        <v>0</v>
      </c>
      <c r="I57" s="4">
        <v>0</v>
      </c>
      <c r="J57" s="4">
        <f>100/100*8</f>
        <v>8</v>
      </c>
      <c r="K57" s="179">
        <f>400/100*8</f>
        <v>32</v>
      </c>
      <c r="L57" s="180"/>
      <c r="M57" s="4">
        <v>0</v>
      </c>
      <c r="N57" s="5"/>
    </row>
    <row r="58" spans="1:16">
      <c r="H58" s="37">
        <f t="shared" ref="H58:M58" si="0">SUM(H8:H57)</f>
        <v>57.548749999999991</v>
      </c>
      <c r="I58" s="37">
        <f t="shared" si="0"/>
        <v>56.908799999999992</v>
      </c>
      <c r="J58" s="37">
        <f t="shared" si="0"/>
        <v>217.6199</v>
      </c>
      <c r="K58" s="37">
        <f t="shared" si="0"/>
        <v>1658.8955500000002</v>
      </c>
      <c r="L58" s="37">
        <f t="shared" si="0"/>
        <v>0</v>
      </c>
      <c r="M58" s="37">
        <f t="shared" si="0"/>
        <v>27.636400000000002</v>
      </c>
    </row>
  </sheetData>
  <mergeCells count="57">
    <mergeCell ref="B37:D37"/>
    <mergeCell ref="B38:D38"/>
    <mergeCell ref="B32:D32"/>
    <mergeCell ref="B33:D33"/>
    <mergeCell ref="B34:D34"/>
    <mergeCell ref="B35:D35"/>
    <mergeCell ref="B36:D36"/>
    <mergeCell ref="B42:D42"/>
    <mergeCell ref="B40:D40"/>
    <mergeCell ref="B41:D41"/>
    <mergeCell ref="A18:A42"/>
    <mergeCell ref="B21:D21"/>
    <mergeCell ref="A43:A44"/>
    <mergeCell ref="B20:D20"/>
    <mergeCell ref="B29:D29"/>
    <mergeCell ref="B30:D30"/>
    <mergeCell ref="B31:D31"/>
    <mergeCell ref="B26:D26"/>
    <mergeCell ref="B27:D27"/>
    <mergeCell ref="B28:D28"/>
    <mergeCell ref="B54:D54"/>
    <mergeCell ref="B55:D55"/>
    <mergeCell ref="A45:A57"/>
    <mergeCell ref="B52:D52"/>
    <mergeCell ref="B56:D56"/>
    <mergeCell ref="B51:D51"/>
    <mergeCell ref="B53:D53"/>
    <mergeCell ref="B49:D49"/>
    <mergeCell ref="B50:D50"/>
    <mergeCell ref="A4:A5"/>
    <mergeCell ref="B4:D5"/>
    <mergeCell ref="E4:F4"/>
    <mergeCell ref="G4:G5"/>
    <mergeCell ref="A7:A16"/>
    <mergeCell ref="B7:F7"/>
    <mergeCell ref="B8:D8"/>
    <mergeCell ref="B9:D9"/>
    <mergeCell ref="B10:D10"/>
    <mergeCell ref="B11:D11"/>
    <mergeCell ref="B12:D12"/>
    <mergeCell ref="B23:D23"/>
    <mergeCell ref="B19:D19"/>
    <mergeCell ref="B25:D25"/>
    <mergeCell ref="M4:M5"/>
    <mergeCell ref="N4:N5"/>
    <mergeCell ref="H4:J4"/>
    <mergeCell ref="K4:L5"/>
    <mergeCell ref="B24:D24"/>
    <mergeCell ref="B13:D13"/>
    <mergeCell ref="B15:D15"/>
    <mergeCell ref="B16:D16"/>
    <mergeCell ref="B14:D14"/>
    <mergeCell ref="B17:D17"/>
    <mergeCell ref="B18:F18"/>
    <mergeCell ref="K18:L18"/>
    <mergeCell ref="B22:F22"/>
    <mergeCell ref="K22:L22"/>
  </mergeCells>
  <printOptions horizontalCentered="1" verticalCentered="1"/>
  <pageMargins left="0.31496062992125984" right="0.11811023622047245" top="0.35433070866141736" bottom="0.35433070866141736" header="0" footer="0"/>
  <pageSetup paperSize="9"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5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Q55" sqref="Q55"/>
    </sheetView>
  </sheetViews>
  <sheetFormatPr defaultRowHeight="15"/>
  <cols>
    <col min="1" max="1" width="13" customWidth="1"/>
    <col min="5" max="10" width="9.28515625" bestFit="1" customWidth="1"/>
    <col min="11" max="11" width="10.42578125" bestFit="1" customWidth="1"/>
    <col min="12" max="13" width="9.28515625" bestFit="1" customWidth="1"/>
  </cols>
  <sheetData>
    <row r="1" spans="1:18" ht="18.75">
      <c r="H1" s="51" t="s">
        <v>82</v>
      </c>
    </row>
    <row r="2" spans="1:18" ht="15.75" thickBot="1"/>
    <row r="3" spans="1:18" ht="15.75" customHeight="1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93</v>
      </c>
      <c r="L3" s="289"/>
      <c r="M3" s="289" t="s">
        <v>16</v>
      </c>
      <c r="N3" s="289" t="s">
        <v>17</v>
      </c>
    </row>
    <row r="4" spans="1:18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8" ht="15.75" thickBot="1">
      <c r="A5" s="2" t="s">
        <v>82</v>
      </c>
      <c r="B5" s="12"/>
      <c r="C5" s="13"/>
      <c r="D5" s="13"/>
      <c r="E5" s="13"/>
      <c r="F5" s="13"/>
      <c r="G5" s="195"/>
      <c r="H5" s="74">
        <f>H53</f>
        <v>58.44854999999999</v>
      </c>
      <c r="I5" s="74">
        <f>I53</f>
        <v>74.503750000000025</v>
      </c>
      <c r="J5" s="74">
        <f>J53</f>
        <v>192.70045000000002</v>
      </c>
      <c r="K5" s="196">
        <f>K53</f>
        <v>1696.1685499999996</v>
      </c>
      <c r="L5" s="197"/>
      <c r="M5" s="74">
        <f>M53</f>
        <v>27.965399999999999</v>
      </c>
      <c r="N5" s="195"/>
    </row>
    <row r="6" spans="1:18" ht="15.75" thickBot="1">
      <c r="A6" s="296" t="s">
        <v>4</v>
      </c>
      <c r="B6" s="278" t="s">
        <v>175</v>
      </c>
      <c r="C6" s="279"/>
      <c r="D6" s="279"/>
      <c r="E6" s="279"/>
      <c r="F6" s="298"/>
      <c r="G6" s="183">
        <v>200</v>
      </c>
      <c r="H6" s="168"/>
      <c r="I6" s="168"/>
      <c r="J6" s="168"/>
      <c r="K6" s="7"/>
      <c r="L6" s="8"/>
      <c r="M6" s="168"/>
      <c r="N6" s="168"/>
    </row>
    <row r="7" spans="1:18" ht="15.75" thickBot="1">
      <c r="A7" s="297"/>
      <c r="B7" s="280" t="s">
        <v>65</v>
      </c>
      <c r="C7" s="281"/>
      <c r="D7" s="281"/>
      <c r="E7" s="168">
        <v>20</v>
      </c>
      <c r="F7" s="168">
        <v>20</v>
      </c>
      <c r="G7" s="168"/>
      <c r="H7" s="168">
        <f>11.5/100*20</f>
        <v>2.3000000000000003</v>
      </c>
      <c r="I7" s="168">
        <f>3.3/100*20</f>
        <v>0.66</v>
      </c>
      <c r="J7" s="168">
        <f>65.5/100*20</f>
        <v>13.100000000000001</v>
      </c>
      <c r="K7" s="89">
        <f>348/100*20</f>
        <v>69.599999999999994</v>
      </c>
      <c r="L7" s="8"/>
      <c r="M7" s="168">
        <v>0</v>
      </c>
      <c r="N7" s="168"/>
    </row>
    <row r="8" spans="1:18" ht="15.75" thickBot="1">
      <c r="A8" s="297"/>
      <c r="B8" s="280" t="s">
        <v>47</v>
      </c>
      <c r="C8" s="281"/>
      <c r="D8" s="281"/>
      <c r="E8" s="168">
        <v>5</v>
      </c>
      <c r="F8" s="168">
        <v>5</v>
      </c>
      <c r="G8" s="168"/>
      <c r="H8" s="168">
        <v>0</v>
      </c>
      <c r="I8" s="168">
        <v>0</v>
      </c>
      <c r="J8" s="168">
        <f>100/100*5</f>
        <v>5</v>
      </c>
      <c r="K8" s="89">
        <f>400/100*5</f>
        <v>20</v>
      </c>
      <c r="L8" s="8"/>
      <c r="M8" s="168">
        <v>0</v>
      </c>
      <c r="N8" s="168"/>
    </row>
    <row r="9" spans="1:18" ht="15.75" thickBot="1">
      <c r="A9" s="297"/>
      <c r="B9" s="280" t="s">
        <v>46</v>
      </c>
      <c r="C9" s="281"/>
      <c r="D9" s="281"/>
      <c r="E9" s="168">
        <v>150</v>
      </c>
      <c r="F9" s="168">
        <v>150</v>
      </c>
      <c r="G9" s="168"/>
      <c r="H9" s="168">
        <f>2.8/100*150</f>
        <v>4.1999999999999993</v>
      </c>
      <c r="I9" s="168">
        <f>2.5/100*150</f>
        <v>3.75</v>
      </c>
      <c r="J9" s="168">
        <f>4.7/100*150</f>
        <v>7.05</v>
      </c>
      <c r="K9" s="89">
        <f>55/100*150</f>
        <v>82.5</v>
      </c>
      <c r="L9" s="8"/>
      <c r="M9" s="168">
        <v>1.5</v>
      </c>
      <c r="N9" s="168"/>
    </row>
    <row r="10" spans="1:18" ht="15.75" thickBot="1">
      <c r="A10" s="297"/>
      <c r="B10" s="280" t="s">
        <v>48</v>
      </c>
      <c r="C10" s="281"/>
      <c r="D10" s="281"/>
      <c r="E10" s="168">
        <v>5</v>
      </c>
      <c r="F10" s="168">
        <v>5</v>
      </c>
      <c r="G10" s="168"/>
      <c r="H10" s="168">
        <f>0.4/100*5</f>
        <v>0.02</v>
      </c>
      <c r="I10" s="168">
        <f>78.5/100*5</f>
        <v>3.9250000000000003</v>
      </c>
      <c r="J10" s="168">
        <f>0.5/100*5</f>
        <v>2.5000000000000001E-2</v>
      </c>
      <c r="K10" s="175">
        <f>734/100*5</f>
        <v>36.700000000000003</v>
      </c>
      <c r="L10" s="165"/>
      <c r="M10" s="168">
        <f>0.6/100*5</f>
        <v>0.03</v>
      </c>
      <c r="N10" s="168"/>
      <c r="Q10" s="27"/>
    </row>
    <row r="11" spans="1:18" ht="15.75" thickBot="1">
      <c r="A11" s="297"/>
      <c r="B11" s="278" t="s">
        <v>207</v>
      </c>
      <c r="C11" s="279"/>
      <c r="D11" s="279"/>
      <c r="E11" s="261"/>
      <c r="F11" s="262"/>
      <c r="G11" s="266">
        <v>30</v>
      </c>
      <c r="H11" s="257">
        <f>7/100*30</f>
        <v>2.1</v>
      </c>
      <c r="I11" s="257">
        <f>1/100*30</f>
        <v>0.3</v>
      </c>
      <c r="J11" s="257">
        <f>47/100*30</f>
        <v>14.1</v>
      </c>
      <c r="K11" s="275">
        <f>230/100*30</f>
        <v>69</v>
      </c>
      <c r="L11" s="259"/>
      <c r="M11" s="257">
        <v>0</v>
      </c>
      <c r="N11" s="68"/>
    </row>
    <row r="12" spans="1:18" ht="15.75" thickBot="1">
      <c r="A12" s="297"/>
      <c r="B12" s="278" t="s">
        <v>23</v>
      </c>
      <c r="C12" s="279"/>
      <c r="D12" s="279"/>
      <c r="E12" s="198"/>
      <c r="F12" s="199"/>
      <c r="G12" s="70">
        <v>5</v>
      </c>
      <c r="H12" s="4">
        <f>0.4/100*5</f>
        <v>0.02</v>
      </c>
      <c r="I12" s="4">
        <f>78.5/100*5</f>
        <v>3.9250000000000003</v>
      </c>
      <c r="J12" s="4">
        <f>0.5/100*5</f>
        <v>2.5000000000000001E-2</v>
      </c>
      <c r="K12" s="275">
        <f>734/100*5</f>
        <v>36.700000000000003</v>
      </c>
      <c r="L12" s="276"/>
      <c r="M12" s="4">
        <f>0.6/100*5</f>
        <v>0.03</v>
      </c>
      <c r="N12" s="5"/>
    </row>
    <row r="13" spans="1:18" ht="15.75" thickBot="1">
      <c r="A13" s="297"/>
      <c r="B13" s="278" t="s">
        <v>177</v>
      </c>
      <c r="C13" s="279"/>
      <c r="D13" s="279"/>
      <c r="E13" s="164"/>
      <c r="F13" s="165"/>
      <c r="G13" s="183">
        <v>180</v>
      </c>
      <c r="H13" s="168"/>
      <c r="I13" s="168"/>
      <c r="J13" s="168"/>
      <c r="K13" s="7"/>
      <c r="L13" s="8"/>
      <c r="M13" s="26"/>
      <c r="N13" s="168"/>
      <c r="R13" s="25"/>
    </row>
    <row r="14" spans="1:18" ht="15.75" thickBot="1">
      <c r="A14" s="297"/>
      <c r="B14" s="277" t="s">
        <v>62</v>
      </c>
      <c r="C14" s="277"/>
      <c r="D14" s="277"/>
      <c r="E14" s="168">
        <v>0.6</v>
      </c>
      <c r="F14" s="168">
        <v>0.6</v>
      </c>
      <c r="G14" s="168"/>
      <c r="H14" s="4">
        <f>20/100*0.6</f>
        <v>0.12</v>
      </c>
      <c r="I14" s="4">
        <v>0</v>
      </c>
      <c r="J14" s="4">
        <f>6.9/100*0.6</f>
        <v>4.1399999999999999E-2</v>
      </c>
      <c r="K14" s="179">
        <f>109/100*0.6</f>
        <v>0.65400000000000003</v>
      </c>
      <c r="L14" s="180"/>
      <c r="M14" s="22">
        <f>10/100*0.6</f>
        <v>0.06</v>
      </c>
      <c r="N14" s="168"/>
      <c r="P14" s="27"/>
    </row>
    <row r="15" spans="1:18" ht="15.75" thickBot="1">
      <c r="A15" s="297"/>
      <c r="B15" s="280" t="s">
        <v>66</v>
      </c>
      <c r="C15" s="281"/>
      <c r="D15" s="281"/>
      <c r="E15" s="168">
        <v>1</v>
      </c>
      <c r="F15" s="168">
        <v>1</v>
      </c>
      <c r="G15" s="168"/>
      <c r="H15" s="4">
        <f>4/100*1</f>
        <v>0.04</v>
      </c>
      <c r="I15" s="4">
        <v>0</v>
      </c>
      <c r="J15" s="4">
        <f>60/100*1</f>
        <v>0.6</v>
      </c>
      <c r="K15" s="171">
        <f>253/100*1</f>
        <v>2.5299999999999998</v>
      </c>
      <c r="L15" s="170"/>
      <c r="M15" s="3">
        <f>15/100*1</f>
        <v>0.15</v>
      </c>
      <c r="N15" s="5"/>
      <c r="O15" s="46"/>
    </row>
    <row r="16" spans="1:18" ht="15.75" thickBot="1">
      <c r="A16" s="297"/>
      <c r="B16" s="280" t="s">
        <v>47</v>
      </c>
      <c r="C16" s="281"/>
      <c r="D16" s="282"/>
      <c r="E16" s="168">
        <v>8</v>
      </c>
      <c r="F16" s="168">
        <v>8</v>
      </c>
      <c r="G16" s="168"/>
      <c r="H16" s="4">
        <v>0</v>
      </c>
      <c r="I16" s="4">
        <v>0</v>
      </c>
      <c r="J16" s="4">
        <f>100/100*8</f>
        <v>8</v>
      </c>
      <c r="K16" s="179">
        <f>400/100*8</f>
        <v>32</v>
      </c>
      <c r="L16" s="174"/>
      <c r="M16" s="3">
        <v>0</v>
      </c>
      <c r="N16" s="5"/>
      <c r="O16" s="46"/>
      <c r="P16" s="27"/>
      <c r="Q16" s="53"/>
    </row>
    <row r="17" spans="1:17" ht="15.75" thickBot="1">
      <c r="A17" s="296" t="s">
        <v>5</v>
      </c>
      <c r="B17" s="278" t="s">
        <v>194</v>
      </c>
      <c r="C17" s="279"/>
      <c r="D17" s="279"/>
      <c r="E17" s="178"/>
      <c r="F17" s="21"/>
      <c r="G17" s="137">
        <v>250</v>
      </c>
      <c r="H17" s="4"/>
      <c r="I17" s="4"/>
      <c r="J17" s="4"/>
      <c r="K17" s="169"/>
      <c r="L17" s="170"/>
      <c r="M17" s="3"/>
      <c r="N17" s="5"/>
      <c r="Q17" s="27"/>
    </row>
    <row r="18" spans="1:17" ht="15.75" thickBot="1">
      <c r="A18" s="297"/>
      <c r="B18" s="280" t="s">
        <v>223</v>
      </c>
      <c r="C18" s="281"/>
      <c r="D18" s="282"/>
      <c r="E18" s="15">
        <v>24</v>
      </c>
      <c r="F18" s="15">
        <v>24</v>
      </c>
      <c r="G18" s="142"/>
      <c r="H18" s="4">
        <v>3.64</v>
      </c>
      <c r="I18" s="4">
        <v>3.68</v>
      </c>
      <c r="J18" s="4">
        <v>0.14000000000000001</v>
      </c>
      <c r="K18" s="171">
        <v>48.2</v>
      </c>
      <c r="L18" s="170"/>
      <c r="M18" s="3">
        <v>0</v>
      </c>
      <c r="N18" s="5"/>
      <c r="Q18" s="54"/>
    </row>
    <row r="19" spans="1:17" ht="15.75" thickBot="1">
      <c r="A19" s="297"/>
      <c r="B19" s="280" t="s">
        <v>240</v>
      </c>
      <c r="C19" s="281"/>
      <c r="D19" s="282"/>
      <c r="E19" s="15">
        <v>20</v>
      </c>
      <c r="F19" s="15">
        <v>20</v>
      </c>
      <c r="G19" s="142"/>
      <c r="H19" s="4">
        <v>2.08</v>
      </c>
      <c r="I19" s="4">
        <v>0.4</v>
      </c>
      <c r="J19" s="4">
        <v>11.84</v>
      </c>
      <c r="K19" s="171">
        <v>59.6</v>
      </c>
      <c r="L19" s="170"/>
      <c r="M19" s="3">
        <v>0</v>
      </c>
      <c r="N19" s="5"/>
    </row>
    <row r="20" spans="1:17" ht="15.75" thickBot="1">
      <c r="A20" s="297"/>
      <c r="B20" s="280" t="s">
        <v>34</v>
      </c>
      <c r="C20" s="281"/>
      <c r="D20" s="282"/>
      <c r="E20" s="15">
        <v>7</v>
      </c>
      <c r="F20" s="15">
        <v>5</v>
      </c>
      <c r="G20" s="142"/>
      <c r="H20" s="4">
        <f>0.2/100*5</f>
        <v>0.01</v>
      </c>
      <c r="I20" s="4">
        <v>0</v>
      </c>
      <c r="J20" s="4">
        <f>10/100*5</f>
        <v>0.5</v>
      </c>
      <c r="K20" s="171">
        <f>42/100*5</f>
        <v>2.1</v>
      </c>
      <c r="L20" s="170"/>
      <c r="M20" s="3">
        <f>8.5/100*5</f>
        <v>0.42500000000000004</v>
      </c>
      <c r="N20" s="5"/>
    </row>
    <row r="21" spans="1:17" ht="15.75" thickBot="1">
      <c r="A21" s="297"/>
      <c r="B21" s="280" t="s">
        <v>35</v>
      </c>
      <c r="C21" s="281"/>
      <c r="D21" s="282"/>
      <c r="E21" s="15">
        <v>7</v>
      </c>
      <c r="F21" s="15">
        <v>5</v>
      </c>
      <c r="G21" s="142"/>
      <c r="H21" s="4">
        <f>1/100*5</f>
        <v>0.05</v>
      </c>
      <c r="I21" s="4">
        <v>0</v>
      </c>
      <c r="J21" s="4">
        <f>6.1/100*5</f>
        <v>0.30499999999999999</v>
      </c>
      <c r="K21" s="171">
        <f>29/100*5</f>
        <v>1.45</v>
      </c>
      <c r="L21" s="170"/>
      <c r="M21" s="3">
        <f>4/100*5</f>
        <v>0.2</v>
      </c>
      <c r="N21" s="5"/>
    </row>
    <row r="22" spans="1:17" ht="15.75" thickBot="1">
      <c r="A22" s="297"/>
      <c r="B22" s="280" t="s">
        <v>23</v>
      </c>
      <c r="C22" s="281"/>
      <c r="D22" s="282"/>
      <c r="E22" s="15">
        <v>2</v>
      </c>
      <c r="F22" s="15">
        <v>2</v>
      </c>
      <c r="G22" s="142"/>
      <c r="H22" s="4">
        <f>0.4/100*2</f>
        <v>8.0000000000000002E-3</v>
      </c>
      <c r="I22" s="4">
        <f>78.5/100*2</f>
        <v>1.57</v>
      </c>
      <c r="J22" s="4">
        <f>0.5/100*2</f>
        <v>0.01</v>
      </c>
      <c r="K22" s="179">
        <f>734/100*2</f>
        <v>14.68</v>
      </c>
      <c r="L22" s="180"/>
      <c r="M22" s="3">
        <v>0</v>
      </c>
      <c r="N22" s="5"/>
    </row>
    <row r="23" spans="1:17" ht="15.75" thickBot="1">
      <c r="A23" s="297"/>
      <c r="B23" s="163"/>
      <c r="C23" s="164" t="s">
        <v>37</v>
      </c>
      <c r="D23" s="165"/>
      <c r="E23" s="15">
        <v>4</v>
      </c>
      <c r="F23" s="15">
        <v>4</v>
      </c>
      <c r="G23" s="142"/>
      <c r="H23" s="4">
        <f>2.6/100*4</f>
        <v>0.10400000000000001</v>
      </c>
      <c r="I23" s="4">
        <f>15/100*4</f>
        <v>0.6</v>
      </c>
      <c r="J23" s="4">
        <f>3.6/100*4</f>
        <v>0.14400000000000002</v>
      </c>
      <c r="K23" s="179">
        <f>160/100*4</f>
        <v>6.4</v>
      </c>
      <c r="L23" s="174"/>
      <c r="M23" s="3">
        <v>0</v>
      </c>
      <c r="N23" s="5"/>
    </row>
    <row r="24" spans="1:17" ht="15.75" thickBot="1">
      <c r="A24" s="297"/>
      <c r="B24" s="280" t="s">
        <v>36</v>
      </c>
      <c r="C24" s="281"/>
      <c r="D24" s="282"/>
      <c r="E24" s="15">
        <v>2</v>
      </c>
      <c r="F24" s="15">
        <v>2</v>
      </c>
      <c r="G24" s="142"/>
      <c r="H24" s="168">
        <v>0</v>
      </c>
      <c r="I24" s="168">
        <f>99.9/100*2</f>
        <v>1.9980000000000002</v>
      </c>
      <c r="J24" s="168">
        <v>0</v>
      </c>
      <c r="K24" s="179">
        <f>900/100*2</f>
        <v>18</v>
      </c>
      <c r="L24" s="180"/>
      <c r="M24" s="1">
        <v>0</v>
      </c>
      <c r="N24" s="5"/>
    </row>
    <row r="25" spans="1:17" ht="15.75" thickBot="1">
      <c r="A25" s="297"/>
      <c r="B25" s="278" t="s">
        <v>249</v>
      </c>
      <c r="C25" s="279"/>
      <c r="D25" s="279"/>
      <c r="E25" s="220"/>
      <c r="F25" s="21"/>
      <c r="G25" s="137">
        <v>150</v>
      </c>
      <c r="H25" s="3"/>
      <c r="I25" s="3"/>
      <c r="J25" s="3"/>
      <c r="K25" s="270"/>
      <c r="L25" s="271"/>
      <c r="M25" s="3"/>
      <c r="N25" s="5"/>
    </row>
    <row r="26" spans="1:17" ht="15.75" thickBot="1">
      <c r="A26" s="297"/>
      <c r="B26" s="280" t="s">
        <v>238</v>
      </c>
      <c r="C26" s="281"/>
      <c r="D26" s="281"/>
      <c r="E26" s="15">
        <v>51</v>
      </c>
      <c r="F26" s="15">
        <v>51</v>
      </c>
      <c r="G26" s="66"/>
      <c r="H26" s="3">
        <f>20.5/100*F26</f>
        <v>10.455</v>
      </c>
      <c r="I26" s="3">
        <f>2/100*F26</f>
        <v>1.02</v>
      </c>
      <c r="J26" s="3">
        <f>44/100*F26</f>
        <v>22.44</v>
      </c>
      <c r="K26" s="268">
        <f>298/100*F26</f>
        <v>151.97999999999999</v>
      </c>
      <c r="L26" s="271"/>
      <c r="M26" s="3">
        <f>3.9/100*F26</f>
        <v>1.9890000000000001</v>
      </c>
      <c r="N26" s="5"/>
    </row>
    <row r="27" spans="1:17" ht="15.75" thickBot="1">
      <c r="A27" s="297"/>
      <c r="B27" s="280" t="s">
        <v>23</v>
      </c>
      <c r="C27" s="281"/>
      <c r="D27" s="281"/>
      <c r="E27" s="15">
        <v>6.75</v>
      </c>
      <c r="F27" s="15">
        <v>6.75</v>
      </c>
      <c r="G27" s="73"/>
      <c r="H27" s="3">
        <f>0.4/100*6.75</f>
        <v>2.7E-2</v>
      </c>
      <c r="I27" s="3">
        <f>78.5/100*6.75</f>
        <v>5.2987500000000001</v>
      </c>
      <c r="J27" s="3">
        <f>0.5/100*6.75</f>
        <v>3.3750000000000002E-2</v>
      </c>
      <c r="K27" s="275">
        <f>734/100*6.75</f>
        <v>49.545000000000002</v>
      </c>
      <c r="L27" s="259"/>
      <c r="M27" s="3">
        <f>0.6/100*6.75</f>
        <v>4.0500000000000001E-2</v>
      </c>
      <c r="N27" s="5"/>
    </row>
    <row r="28" spans="1:17" ht="15.75" thickBot="1">
      <c r="A28" s="297"/>
      <c r="B28" s="278" t="s">
        <v>159</v>
      </c>
      <c r="C28" s="279"/>
      <c r="D28" s="279"/>
      <c r="E28" s="220"/>
      <c r="F28" s="21"/>
      <c r="G28" s="66">
        <v>80</v>
      </c>
      <c r="H28" s="3"/>
      <c r="I28" s="3"/>
      <c r="J28" s="3"/>
      <c r="K28" s="270"/>
      <c r="L28" s="271"/>
      <c r="M28" s="3"/>
      <c r="N28" s="5"/>
    </row>
    <row r="29" spans="1:17" ht="15.75" thickBot="1">
      <c r="A29" s="297"/>
      <c r="B29" s="280" t="s">
        <v>91</v>
      </c>
      <c r="C29" s="281"/>
      <c r="D29" s="282"/>
      <c r="E29" s="15">
        <v>80</v>
      </c>
      <c r="F29" s="15">
        <v>80</v>
      </c>
      <c r="G29" s="3"/>
      <c r="H29" s="3">
        <f>18.9/100*80</f>
        <v>15.119999999999997</v>
      </c>
      <c r="I29" s="3">
        <f>12.4/100*80</f>
        <v>9.92</v>
      </c>
      <c r="J29" s="3">
        <v>0</v>
      </c>
      <c r="K29" s="275">
        <f>187/100*80</f>
        <v>149.60000000000002</v>
      </c>
      <c r="L29" s="276"/>
      <c r="M29" s="3">
        <v>0</v>
      </c>
      <c r="N29" s="5"/>
    </row>
    <row r="30" spans="1:17" ht="15.75" thickBot="1">
      <c r="A30" s="297"/>
      <c r="B30" s="280" t="s">
        <v>64</v>
      </c>
      <c r="C30" s="281"/>
      <c r="D30" s="282"/>
      <c r="E30" s="15">
        <v>10</v>
      </c>
      <c r="F30" s="15">
        <v>10</v>
      </c>
      <c r="G30" s="3"/>
      <c r="H30" s="3">
        <f>7/100*10</f>
        <v>0.70000000000000007</v>
      </c>
      <c r="I30" s="3">
        <f>1/100*10</f>
        <v>0.1</v>
      </c>
      <c r="J30" s="275">
        <f>74/100*10</f>
        <v>7.4</v>
      </c>
      <c r="K30" s="275">
        <f>330/100*10</f>
        <v>33</v>
      </c>
      <c r="L30" s="276"/>
      <c r="M30" s="3">
        <v>0</v>
      </c>
      <c r="N30" s="5"/>
    </row>
    <row r="31" spans="1:17" ht="15.75" thickBot="1">
      <c r="A31" s="297"/>
      <c r="B31" s="280" t="s">
        <v>50</v>
      </c>
      <c r="C31" s="283"/>
      <c r="D31" s="284"/>
      <c r="E31" s="15">
        <v>5</v>
      </c>
      <c r="F31" s="15">
        <v>5</v>
      </c>
      <c r="G31" s="3"/>
      <c r="H31" s="3">
        <f>12.7/100*5</f>
        <v>0.63500000000000001</v>
      </c>
      <c r="I31" s="3">
        <f>11.5/100*5</f>
        <v>0.57500000000000007</v>
      </c>
      <c r="J31" s="3">
        <f>0.7/100*5</f>
        <v>3.4999999999999996E-2</v>
      </c>
      <c r="K31" s="268">
        <f>241/100*5</f>
        <v>12.05</v>
      </c>
      <c r="L31" s="20"/>
      <c r="M31" s="3">
        <v>0</v>
      </c>
      <c r="N31" s="5"/>
    </row>
    <row r="32" spans="1:17" ht="15.75" thickBot="1">
      <c r="A32" s="297"/>
      <c r="B32" s="277" t="s">
        <v>54</v>
      </c>
      <c r="C32" s="277"/>
      <c r="D32" s="277"/>
      <c r="E32" s="15">
        <v>12</v>
      </c>
      <c r="F32" s="15">
        <v>10</v>
      </c>
      <c r="G32" s="3"/>
      <c r="H32" s="3">
        <f>0.2/100*10</f>
        <v>0.02</v>
      </c>
      <c r="I32" s="3">
        <v>0</v>
      </c>
      <c r="J32" s="3">
        <f>10/100*10</f>
        <v>1</v>
      </c>
      <c r="K32" s="268">
        <f>42/100*10</f>
        <v>4.2</v>
      </c>
      <c r="L32" s="271"/>
      <c r="M32" s="3">
        <f>8.5/100*10</f>
        <v>0.85000000000000009</v>
      </c>
      <c r="N32" s="5"/>
      <c r="Q32" s="25"/>
    </row>
    <row r="33" spans="1:17" ht="15.75" thickBot="1">
      <c r="A33" s="297"/>
      <c r="B33" s="280" t="s">
        <v>68</v>
      </c>
      <c r="C33" s="281"/>
      <c r="D33" s="282"/>
      <c r="E33" s="15">
        <v>2</v>
      </c>
      <c r="F33" s="15">
        <v>2</v>
      </c>
      <c r="G33" s="3"/>
      <c r="H33" s="3">
        <f>6.5/100*2</f>
        <v>0.13</v>
      </c>
      <c r="I33" s="3">
        <f>0.5/100*2</f>
        <v>0.01</v>
      </c>
      <c r="J33" s="3">
        <f>29.9/100*2</f>
        <v>0.59799999999999998</v>
      </c>
      <c r="K33" s="275">
        <f>142/100*2</f>
        <v>2.84</v>
      </c>
      <c r="L33" s="276"/>
      <c r="M33" s="3">
        <f>31.2/100*2</f>
        <v>0.624</v>
      </c>
      <c r="N33" s="5"/>
      <c r="Q33" s="25"/>
    </row>
    <row r="34" spans="1:17" ht="15.75" thickBot="1">
      <c r="A34" s="297"/>
      <c r="B34" s="278" t="s">
        <v>246</v>
      </c>
      <c r="C34" s="279"/>
      <c r="D34" s="279"/>
      <c r="E34" s="164"/>
      <c r="F34" s="165"/>
      <c r="G34" s="66">
        <v>50</v>
      </c>
      <c r="H34" s="4">
        <f>7/100*50</f>
        <v>3.5000000000000004</v>
      </c>
      <c r="I34" s="4">
        <f>1/100*50</f>
        <v>0.5</v>
      </c>
      <c r="J34" s="4">
        <f>46/100*50</f>
        <v>23</v>
      </c>
      <c r="K34" s="179">
        <f>200/100*50</f>
        <v>100</v>
      </c>
      <c r="L34" s="174"/>
      <c r="M34" s="4">
        <v>0</v>
      </c>
      <c r="N34" s="5"/>
      <c r="Q34" s="25"/>
    </row>
    <row r="35" spans="1:17" ht="15.75" thickBot="1">
      <c r="A35" s="297"/>
      <c r="B35" s="278" t="s">
        <v>40</v>
      </c>
      <c r="C35" s="279"/>
      <c r="D35" s="279"/>
      <c r="E35" s="178"/>
      <c r="F35" s="21"/>
      <c r="G35" s="66">
        <v>180</v>
      </c>
      <c r="H35" s="4"/>
      <c r="I35" s="4"/>
      <c r="J35" s="4"/>
      <c r="K35" s="169"/>
      <c r="L35" s="170"/>
      <c r="M35" s="3"/>
      <c r="N35" s="5"/>
      <c r="Q35" s="25"/>
    </row>
    <row r="36" spans="1:17" ht="15.75" thickBot="1">
      <c r="A36" s="297"/>
      <c r="B36" s="280" t="s">
        <v>57</v>
      </c>
      <c r="C36" s="281"/>
      <c r="D36" s="282"/>
      <c r="E36" s="168">
        <v>11</v>
      </c>
      <c r="F36" s="168">
        <v>16.5</v>
      </c>
      <c r="G36" s="3"/>
      <c r="H36" s="4">
        <f>0.63/100*16.5</f>
        <v>0.10395</v>
      </c>
      <c r="I36" s="4">
        <v>0</v>
      </c>
      <c r="J36" s="4">
        <f>10.06/100*16.5</f>
        <v>1.6599000000000002</v>
      </c>
      <c r="K36" s="179">
        <f>40.87/100*16.5</f>
        <v>6.743549999999999</v>
      </c>
      <c r="L36" s="180"/>
      <c r="M36" s="4">
        <f>0.46/100*16.5</f>
        <v>7.5899999999999995E-2</v>
      </c>
      <c r="N36" s="5"/>
      <c r="Q36" s="25"/>
    </row>
    <row r="37" spans="1:17" ht="15.75" thickBot="1">
      <c r="A37" s="306"/>
      <c r="B37" s="280" t="s">
        <v>47</v>
      </c>
      <c r="C37" s="281"/>
      <c r="D37" s="282"/>
      <c r="E37" s="168">
        <v>10</v>
      </c>
      <c r="F37" s="168">
        <v>10</v>
      </c>
      <c r="G37" s="5"/>
      <c r="H37" s="4">
        <v>0</v>
      </c>
      <c r="I37" s="4">
        <v>0</v>
      </c>
      <c r="J37" s="4">
        <f>100/100*10</f>
        <v>10</v>
      </c>
      <c r="K37" s="179">
        <f>400/100*10</f>
        <v>40</v>
      </c>
      <c r="L37" s="180"/>
      <c r="M37" s="4">
        <v>0</v>
      </c>
      <c r="N37" s="5"/>
      <c r="Q37" s="25"/>
    </row>
    <row r="38" spans="1:17" ht="15.75" thickBot="1">
      <c r="A38" s="297" t="s">
        <v>6</v>
      </c>
      <c r="B38" s="278" t="s">
        <v>185</v>
      </c>
      <c r="C38" s="279"/>
      <c r="D38" s="279"/>
      <c r="E38" s="220"/>
      <c r="F38" s="21"/>
      <c r="G38" s="137">
        <v>20</v>
      </c>
      <c r="H38" s="4">
        <f>7.4/100*20</f>
        <v>1.4800000000000002</v>
      </c>
      <c r="I38" s="4">
        <f>17.6/100*20</f>
        <v>3.5200000000000005</v>
      </c>
      <c r="J38" s="4">
        <f>64.2/100*20</f>
        <v>12.84</v>
      </c>
      <c r="K38" s="275">
        <f>445/100*20</f>
        <v>89</v>
      </c>
      <c r="L38" s="276"/>
      <c r="M38" s="4">
        <v>0</v>
      </c>
      <c r="N38" s="5"/>
      <c r="O38">
        <v>16</v>
      </c>
    </row>
    <row r="39" spans="1:17" ht="15.75" thickBot="1">
      <c r="A39" s="297"/>
      <c r="B39" s="12" t="s">
        <v>22</v>
      </c>
      <c r="C39" s="13"/>
      <c r="D39" s="13"/>
      <c r="E39" s="178"/>
      <c r="F39" s="21"/>
      <c r="G39" s="66">
        <v>150</v>
      </c>
      <c r="H39" s="4">
        <f>2.6/100*150</f>
        <v>3.9000000000000004</v>
      </c>
      <c r="I39" s="4">
        <f>15/100*150</f>
        <v>22.5</v>
      </c>
      <c r="J39" s="4">
        <f>3.6/100*150</f>
        <v>5.4</v>
      </c>
      <c r="K39" s="179">
        <f>160/100*150</f>
        <v>240</v>
      </c>
      <c r="L39" s="180"/>
      <c r="M39" s="3">
        <f>1/100*150</f>
        <v>1.5</v>
      </c>
      <c r="N39" s="66">
        <v>255</v>
      </c>
    </row>
    <row r="40" spans="1:17" ht="15.75" thickBot="1">
      <c r="A40" s="296" t="s">
        <v>7</v>
      </c>
      <c r="B40" s="278" t="s">
        <v>247</v>
      </c>
      <c r="C40" s="279"/>
      <c r="D40" s="298"/>
      <c r="E40" s="15"/>
      <c r="F40" s="15"/>
      <c r="G40" s="137">
        <v>200</v>
      </c>
      <c r="H40" s="3"/>
      <c r="I40" s="3"/>
      <c r="J40" s="3"/>
      <c r="K40" s="285"/>
      <c r="L40" s="286"/>
      <c r="M40" s="3"/>
      <c r="N40" s="5"/>
    </row>
    <row r="41" spans="1:17" ht="15.75" thickBot="1">
      <c r="A41" s="297"/>
      <c r="B41" s="277" t="s">
        <v>248</v>
      </c>
      <c r="C41" s="277"/>
      <c r="D41" s="277"/>
      <c r="E41" s="15">
        <v>20</v>
      </c>
      <c r="F41" s="15">
        <v>20</v>
      </c>
      <c r="G41" s="73"/>
      <c r="H41" s="3">
        <f>15/100*F41</f>
        <v>3</v>
      </c>
      <c r="I41" s="3">
        <f>17/100*F41</f>
        <v>3.4000000000000004</v>
      </c>
      <c r="J41" s="3">
        <f>0</f>
        <v>0</v>
      </c>
      <c r="K41" s="275">
        <f>213/100*F41</f>
        <v>42.599999999999994</v>
      </c>
      <c r="L41" s="259"/>
      <c r="M41" s="275">
        <v>0</v>
      </c>
      <c r="N41" s="5"/>
    </row>
    <row r="42" spans="1:17" ht="15.75" thickBot="1">
      <c r="A42" s="297"/>
      <c r="B42" s="280" t="s">
        <v>52</v>
      </c>
      <c r="C42" s="281"/>
      <c r="D42" s="281"/>
      <c r="E42" s="15">
        <v>200</v>
      </c>
      <c r="F42" s="15">
        <v>170</v>
      </c>
      <c r="G42" s="73"/>
      <c r="H42" s="3">
        <f>1.2/100*170</f>
        <v>2.04</v>
      </c>
      <c r="I42" s="3">
        <v>0</v>
      </c>
      <c r="J42" s="3">
        <f>14/100*170</f>
        <v>23.8</v>
      </c>
      <c r="K42" s="275">
        <f>62/100*170</f>
        <v>105.4</v>
      </c>
      <c r="L42" s="276"/>
      <c r="M42" s="3">
        <f>7.5/100*170</f>
        <v>12.75</v>
      </c>
      <c r="N42" s="5"/>
    </row>
    <row r="43" spans="1:17" ht="15.75" thickBot="1">
      <c r="A43" s="297"/>
      <c r="B43" s="277" t="s">
        <v>54</v>
      </c>
      <c r="C43" s="277"/>
      <c r="D43" s="277"/>
      <c r="E43" s="15">
        <v>7</v>
      </c>
      <c r="F43" s="15">
        <v>5</v>
      </c>
      <c r="G43" s="73"/>
      <c r="H43" s="3">
        <f>0.2/100*5</f>
        <v>0.01</v>
      </c>
      <c r="I43" s="3">
        <v>0</v>
      </c>
      <c r="J43" s="3">
        <f>10/100*5</f>
        <v>0.5</v>
      </c>
      <c r="K43" s="268">
        <f>42/100*5</f>
        <v>2.1</v>
      </c>
      <c r="L43" s="271"/>
      <c r="M43" s="3">
        <f>8.5/100*5</f>
        <v>0.42500000000000004</v>
      </c>
      <c r="N43" s="5"/>
    </row>
    <row r="44" spans="1:17" ht="15.75" thickBot="1">
      <c r="A44" s="297"/>
      <c r="B44" s="280" t="s">
        <v>55</v>
      </c>
      <c r="C44" s="281"/>
      <c r="D44" s="281"/>
      <c r="E44" s="15">
        <v>7</v>
      </c>
      <c r="F44" s="15">
        <v>5</v>
      </c>
      <c r="G44" s="73"/>
      <c r="H44" s="3">
        <f>1/100*5</f>
        <v>0.05</v>
      </c>
      <c r="I44" s="3">
        <v>0</v>
      </c>
      <c r="J44" s="3">
        <f>6.1/100*5</f>
        <v>0.30499999999999999</v>
      </c>
      <c r="K44" s="268">
        <f>29/100*5</f>
        <v>1.45</v>
      </c>
      <c r="L44" s="271"/>
      <c r="M44" s="3">
        <f>4/100*5</f>
        <v>0.2</v>
      </c>
      <c r="N44" s="5"/>
    </row>
    <row r="45" spans="1:17" ht="15.75" thickBot="1">
      <c r="A45" s="297"/>
      <c r="B45" s="280" t="s">
        <v>48</v>
      </c>
      <c r="C45" s="283"/>
      <c r="D45" s="284"/>
      <c r="E45" s="15">
        <v>3</v>
      </c>
      <c r="F45" s="15">
        <v>3</v>
      </c>
      <c r="G45" s="66"/>
      <c r="H45" s="3">
        <f>0.4/100*3</f>
        <v>1.2E-2</v>
      </c>
      <c r="I45" s="3">
        <f>78.5/100*3</f>
        <v>2.355</v>
      </c>
      <c r="J45" s="3">
        <f>0.5/100*3</f>
        <v>1.4999999999999999E-2</v>
      </c>
      <c r="K45" s="275">
        <f>734/100*3</f>
        <v>22.02</v>
      </c>
      <c r="L45" s="276"/>
      <c r="M45" s="3">
        <v>0</v>
      </c>
      <c r="N45" s="5"/>
    </row>
    <row r="46" spans="1:17" ht="15.75" thickBot="1">
      <c r="A46" s="297"/>
      <c r="B46" s="277" t="s">
        <v>60</v>
      </c>
      <c r="C46" s="277"/>
      <c r="D46" s="277"/>
      <c r="E46" s="15">
        <v>3</v>
      </c>
      <c r="F46" s="15">
        <v>3</v>
      </c>
      <c r="G46" s="73"/>
      <c r="H46" s="1">
        <v>0</v>
      </c>
      <c r="I46" s="1">
        <f>99.9/100*3</f>
        <v>2.9970000000000003</v>
      </c>
      <c r="J46" s="1">
        <v>0</v>
      </c>
      <c r="K46" s="275">
        <f>900/100*3</f>
        <v>27</v>
      </c>
      <c r="L46" s="276"/>
      <c r="M46" s="1">
        <v>0</v>
      </c>
      <c r="N46" s="5"/>
    </row>
    <row r="47" spans="1:17" ht="15.75" thickBot="1">
      <c r="A47" s="297"/>
      <c r="B47" s="277" t="s">
        <v>63</v>
      </c>
      <c r="C47" s="277"/>
      <c r="D47" s="277"/>
      <c r="E47" s="15">
        <v>8</v>
      </c>
      <c r="F47" s="15">
        <v>8</v>
      </c>
      <c r="G47" s="73"/>
      <c r="H47" s="3">
        <f>2.6/100*8</f>
        <v>0.20800000000000002</v>
      </c>
      <c r="I47" s="3">
        <f>15/100*8</f>
        <v>1.2</v>
      </c>
      <c r="J47" s="3">
        <f>3.6/100*8</f>
        <v>0.28800000000000003</v>
      </c>
      <c r="K47" s="275">
        <f>160/100*8</f>
        <v>12.8</v>
      </c>
      <c r="L47" s="259"/>
      <c r="M47" s="3">
        <v>0</v>
      </c>
      <c r="N47" s="5"/>
    </row>
    <row r="48" spans="1:17" ht="15.75" thickBot="1">
      <c r="A48" s="297"/>
      <c r="B48" s="277" t="s">
        <v>72</v>
      </c>
      <c r="C48" s="277"/>
      <c r="D48" s="277"/>
      <c r="E48" s="15">
        <v>6</v>
      </c>
      <c r="F48" s="15">
        <v>5.6</v>
      </c>
      <c r="G48" s="73"/>
      <c r="H48" s="3">
        <f>2.6/100*5.6</f>
        <v>0.14560000000000001</v>
      </c>
      <c r="I48" s="3">
        <v>0</v>
      </c>
      <c r="J48" s="3">
        <f>6.5/100*5.6</f>
        <v>0.36399999999999999</v>
      </c>
      <c r="K48" s="275">
        <f>37/100*5.6</f>
        <v>2.0720000000000001</v>
      </c>
      <c r="L48" s="259"/>
      <c r="M48" s="3">
        <f>126/100*5.6</f>
        <v>7.0559999999999992</v>
      </c>
      <c r="N48" s="257"/>
    </row>
    <row r="49" spans="1:17" ht="15.75" thickBot="1">
      <c r="A49" s="297"/>
      <c r="B49" s="278" t="s">
        <v>207</v>
      </c>
      <c r="C49" s="279"/>
      <c r="D49" s="279"/>
      <c r="E49" s="164"/>
      <c r="F49" s="165"/>
      <c r="G49" s="183">
        <v>30</v>
      </c>
      <c r="H49" s="168">
        <f>7/100*30</f>
        <v>2.1</v>
      </c>
      <c r="I49" s="168">
        <f>1/100*30</f>
        <v>0.3</v>
      </c>
      <c r="J49" s="168">
        <f>47/100*30</f>
        <v>14.1</v>
      </c>
      <c r="K49" s="179">
        <f>230/100*30</f>
        <v>69</v>
      </c>
      <c r="L49" s="174"/>
      <c r="M49" s="168">
        <v>0</v>
      </c>
      <c r="N49" s="5"/>
    </row>
    <row r="50" spans="1:17" ht="15.75" thickBot="1">
      <c r="A50" s="297"/>
      <c r="B50" s="278" t="s">
        <v>44</v>
      </c>
      <c r="C50" s="279"/>
      <c r="D50" s="279"/>
      <c r="E50" s="178"/>
      <c r="F50" s="21"/>
      <c r="G50" s="137">
        <v>180</v>
      </c>
      <c r="H50" s="4"/>
      <c r="I50" s="4"/>
      <c r="J50" s="4"/>
      <c r="K50" s="307"/>
      <c r="L50" s="308"/>
      <c r="M50" s="3"/>
      <c r="N50" s="66">
        <v>263</v>
      </c>
      <c r="Q50" s="25"/>
    </row>
    <row r="51" spans="1:17" ht="15.75" thickBot="1">
      <c r="A51" s="297"/>
      <c r="B51" s="277" t="s">
        <v>210</v>
      </c>
      <c r="C51" s="277"/>
      <c r="D51" s="277"/>
      <c r="E51" s="168">
        <v>0.6</v>
      </c>
      <c r="F51" s="168">
        <v>0.6</v>
      </c>
      <c r="G51" s="168"/>
      <c r="H51" s="4">
        <f>20/100*0.6</f>
        <v>0.12</v>
      </c>
      <c r="I51" s="4">
        <v>0</v>
      </c>
      <c r="J51" s="4">
        <f>6.9/100*0.6</f>
        <v>4.1399999999999999E-2</v>
      </c>
      <c r="K51" s="179">
        <f>109/100*0.6</f>
        <v>0.65400000000000003</v>
      </c>
      <c r="L51" s="180"/>
      <c r="M51" s="4">
        <f>10/100*0.6</f>
        <v>0.06</v>
      </c>
      <c r="N51" s="168"/>
      <c r="Q51" s="25"/>
    </row>
    <row r="52" spans="1:17" ht="15.75" thickBot="1">
      <c r="A52" s="306"/>
      <c r="B52" s="280" t="s">
        <v>24</v>
      </c>
      <c r="C52" s="281"/>
      <c r="D52" s="281"/>
      <c r="E52" s="168">
        <v>8</v>
      </c>
      <c r="F52" s="168">
        <v>8</v>
      </c>
      <c r="G52" s="183"/>
      <c r="H52" s="4">
        <v>0</v>
      </c>
      <c r="I52" s="4">
        <v>0</v>
      </c>
      <c r="J52" s="4">
        <v>8</v>
      </c>
      <c r="K52" s="179">
        <v>32</v>
      </c>
      <c r="L52" s="174"/>
      <c r="M52" s="3">
        <v>0</v>
      </c>
      <c r="N52" s="5"/>
    </row>
    <row r="53" spans="1:17">
      <c r="A53" s="158"/>
      <c r="H53" s="37">
        <f t="shared" ref="H53:M53" si="0">SUM(H7:H52)</f>
        <v>58.44854999999999</v>
      </c>
      <c r="I53" s="37">
        <f t="shared" si="0"/>
        <v>74.503750000000025</v>
      </c>
      <c r="J53" s="37">
        <f t="shared" si="0"/>
        <v>192.70045000000002</v>
      </c>
      <c r="K53" s="37">
        <f t="shared" si="0"/>
        <v>1696.1685499999996</v>
      </c>
      <c r="L53" s="37">
        <f t="shared" si="0"/>
        <v>0</v>
      </c>
      <c r="M53" s="37">
        <f t="shared" si="0"/>
        <v>27.965399999999999</v>
      </c>
      <c r="Q53" s="25"/>
    </row>
    <row r="54" spans="1:17">
      <c r="A54" s="159"/>
      <c r="Q54" s="25"/>
    </row>
    <row r="55" spans="1:17">
      <c r="A55" s="159"/>
      <c r="Q55" s="25"/>
    </row>
    <row r="56" spans="1:17">
      <c r="A56" s="159"/>
    </row>
  </sheetData>
  <mergeCells count="59">
    <mergeCell ref="A17:A37"/>
    <mergeCell ref="B36:D36"/>
    <mergeCell ref="B37:D37"/>
    <mergeCell ref="B13:D13"/>
    <mergeCell ref="B14:D14"/>
    <mergeCell ref="B17:D17"/>
    <mergeCell ref="B16:D16"/>
    <mergeCell ref="B18:D18"/>
    <mergeCell ref="B31:D31"/>
    <mergeCell ref="B32:D32"/>
    <mergeCell ref="B15:D15"/>
    <mergeCell ref="B19:D19"/>
    <mergeCell ref="B20:D20"/>
    <mergeCell ref="B21:D21"/>
    <mergeCell ref="B33:D33"/>
    <mergeCell ref="K50:L50"/>
    <mergeCell ref="K40:L40"/>
    <mergeCell ref="B44:D44"/>
    <mergeCell ref="B45:D45"/>
    <mergeCell ref="B38:D38"/>
    <mergeCell ref="B35:D35"/>
    <mergeCell ref="B34:D34"/>
    <mergeCell ref="B42:D42"/>
    <mergeCell ref="B43:D43"/>
    <mergeCell ref="B48:D48"/>
    <mergeCell ref="N3:N4"/>
    <mergeCell ref="A6:A16"/>
    <mergeCell ref="B6:F6"/>
    <mergeCell ref="B7:D7"/>
    <mergeCell ref="B8:D8"/>
    <mergeCell ref="B9:D9"/>
    <mergeCell ref="B10:D10"/>
    <mergeCell ref="B11:D11"/>
    <mergeCell ref="B12:D12"/>
    <mergeCell ref="A3:A4"/>
    <mergeCell ref="B3:D4"/>
    <mergeCell ref="E3:F3"/>
    <mergeCell ref="G3:G4"/>
    <mergeCell ref="H3:J3"/>
    <mergeCell ref="K3:L4"/>
    <mergeCell ref="M3:M4"/>
    <mergeCell ref="B51:D51"/>
    <mergeCell ref="B50:D50"/>
    <mergeCell ref="B49:D49"/>
    <mergeCell ref="A38:A39"/>
    <mergeCell ref="B40:D40"/>
    <mergeCell ref="B46:D46"/>
    <mergeCell ref="B47:D47"/>
    <mergeCell ref="B41:D41"/>
    <mergeCell ref="A40:A52"/>
    <mergeCell ref="B52:D52"/>
    <mergeCell ref="B29:D29"/>
    <mergeCell ref="B30:D30"/>
    <mergeCell ref="B22:D22"/>
    <mergeCell ref="B24:D24"/>
    <mergeCell ref="B26:D26"/>
    <mergeCell ref="B27:D27"/>
    <mergeCell ref="B28:D28"/>
    <mergeCell ref="B25:D25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7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4"/>
  <sheetViews>
    <sheetView zoomScaleNormal="100" workbookViewId="0">
      <pane ySplit="4" topLeftCell="A5" activePane="bottomLeft" state="frozen"/>
      <selection pane="bottomLeft" activeCell="P40" sqref="P40"/>
    </sheetView>
  </sheetViews>
  <sheetFormatPr defaultRowHeight="15"/>
  <cols>
    <col min="1" max="1" width="13" customWidth="1"/>
    <col min="5" max="9" width="9.42578125" bestFit="1" customWidth="1"/>
    <col min="10" max="10" width="10.42578125" bestFit="1" customWidth="1"/>
    <col min="11" max="11" width="10.5703125" bestFit="1" customWidth="1"/>
    <col min="13" max="13" width="9.42578125" bestFit="1" customWidth="1"/>
    <col min="14" max="14" width="9.28515625" bestFit="1" customWidth="1"/>
  </cols>
  <sheetData>
    <row r="1" spans="1:14" ht="18.75">
      <c r="F1" s="51" t="s">
        <v>99</v>
      </c>
    </row>
    <row r="2" spans="1:14" ht="15.75" thickBot="1"/>
    <row r="3" spans="1:14" ht="15.75" customHeight="1" thickBot="1">
      <c r="A3" s="293" t="s">
        <v>8</v>
      </c>
      <c r="B3" s="299" t="s">
        <v>9</v>
      </c>
      <c r="C3" s="300"/>
      <c r="D3" s="317"/>
      <c r="E3" s="303" t="s">
        <v>29</v>
      </c>
      <c r="F3" s="304"/>
      <c r="G3" s="289" t="s">
        <v>10</v>
      </c>
      <c r="H3" s="319" t="s">
        <v>11</v>
      </c>
      <c r="I3" s="320"/>
      <c r="J3" s="321"/>
      <c r="K3" s="289" t="s">
        <v>93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18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86</v>
      </c>
      <c r="B5" s="12"/>
      <c r="C5" s="13"/>
      <c r="D5" s="13"/>
      <c r="E5" s="13"/>
      <c r="F5" s="13"/>
      <c r="G5" s="195"/>
      <c r="H5" s="74">
        <f>H64</f>
        <v>59.429149999999993</v>
      </c>
      <c r="I5" s="74">
        <f t="shared" ref="I5:M5" si="0">I64</f>
        <v>49.988000000000007</v>
      </c>
      <c r="J5" s="74">
        <f t="shared" si="0"/>
        <v>234.13050000000007</v>
      </c>
      <c r="K5" s="196">
        <f t="shared" si="0"/>
        <v>1543.7535499999999</v>
      </c>
      <c r="L5" s="197"/>
      <c r="M5" s="74">
        <f t="shared" si="0"/>
        <v>26.733899999999998</v>
      </c>
      <c r="N5" s="195"/>
    </row>
    <row r="6" spans="1:14" ht="15.75" thickBot="1">
      <c r="A6" s="296" t="s">
        <v>4</v>
      </c>
      <c r="B6" s="278" t="s">
        <v>172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64</v>
      </c>
      <c r="C7" s="283"/>
      <c r="D7" s="284"/>
      <c r="E7" s="257">
        <v>30</v>
      </c>
      <c r="F7" s="257">
        <v>30</v>
      </c>
      <c r="G7" s="257"/>
      <c r="H7" s="4">
        <f>7/100*30</f>
        <v>2.1</v>
      </c>
      <c r="I7" s="4">
        <f>1/100*30</f>
        <v>0.3</v>
      </c>
      <c r="J7" s="258">
        <f>74/100*30</f>
        <v>22.2</v>
      </c>
      <c r="K7" s="275">
        <f>330/100*30</f>
        <v>99</v>
      </c>
      <c r="L7" s="276"/>
      <c r="M7" s="4">
        <v>0</v>
      </c>
      <c r="N7" s="5"/>
    </row>
    <row r="8" spans="1:14" ht="15.75" thickBot="1">
      <c r="A8" s="297"/>
      <c r="B8" s="280" t="s">
        <v>46</v>
      </c>
      <c r="C8" s="281"/>
      <c r="D8" s="281"/>
      <c r="E8" s="257">
        <v>150</v>
      </c>
      <c r="F8" s="257">
        <v>150</v>
      </c>
      <c r="G8" s="257"/>
      <c r="H8" s="257">
        <f>2.8/100*150</f>
        <v>4.1999999999999993</v>
      </c>
      <c r="I8" s="257">
        <f>2.5/100*150</f>
        <v>3.75</v>
      </c>
      <c r="J8" s="257">
        <f>4.7/100*150</f>
        <v>7.05</v>
      </c>
      <c r="K8" s="89">
        <f>55/100*150</f>
        <v>82.5</v>
      </c>
      <c r="L8" s="8"/>
      <c r="M8" s="257">
        <f>1/100*150</f>
        <v>1.5</v>
      </c>
      <c r="N8" s="257"/>
    </row>
    <row r="9" spans="1:14" ht="15.75" thickBot="1">
      <c r="A9" s="297"/>
      <c r="B9" s="280" t="s">
        <v>48</v>
      </c>
      <c r="C9" s="281"/>
      <c r="D9" s="281"/>
      <c r="E9" s="257">
        <v>5</v>
      </c>
      <c r="F9" s="257">
        <v>5</v>
      </c>
      <c r="G9" s="257"/>
      <c r="H9" s="257">
        <v>0</v>
      </c>
      <c r="I9" s="257">
        <v>0</v>
      </c>
      <c r="J9" s="257">
        <f>100/100*5</f>
        <v>5</v>
      </c>
      <c r="K9" s="89">
        <f>400/100*5</f>
        <v>20</v>
      </c>
      <c r="L9" s="8"/>
      <c r="M9" s="257">
        <v>0</v>
      </c>
      <c r="N9" s="257"/>
    </row>
    <row r="10" spans="1:14" ht="15.75" thickBot="1">
      <c r="A10" s="297"/>
      <c r="B10" s="280" t="s">
        <v>47</v>
      </c>
      <c r="C10" s="281"/>
      <c r="D10" s="281"/>
      <c r="E10" s="257">
        <v>5</v>
      </c>
      <c r="F10" s="257">
        <v>5</v>
      </c>
      <c r="G10" s="257"/>
      <c r="H10" s="257">
        <v>0</v>
      </c>
      <c r="I10" s="257">
        <v>0</v>
      </c>
      <c r="J10" s="257">
        <f>100/100*2</f>
        <v>2</v>
      </c>
      <c r="K10" s="218">
        <f>400/100*2</f>
        <v>8</v>
      </c>
      <c r="L10" s="262"/>
      <c r="M10" s="257">
        <f>0.6/100*2</f>
        <v>1.2E-2</v>
      </c>
      <c r="N10" s="257"/>
    </row>
    <row r="11" spans="1:14" ht="15.75" thickBot="1">
      <c r="A11" s="297"/>
      <c r="B11" s="278" t="s">
        <v>207</v>
      </c>
      <c r="C11" s="279"/>
      <c r="D11" s="279"/>
      <c r="E11" s="206"/>
      <c r="F11" s="205"/>
      <c r="G11" s="210">
        <v>30</v>
      </c>
      <c r="H11" s="233">
        <f>7/100*30</f>
        <v>2.1</v>
      </c>
      <c r="I11" s="233">
        <f>1/100*30</f>
        <v>0.3</v>
      </c>
      <c r="J11" s="233">
        <f>47/100*30</f>
        <v>14.1</v>
      </c>
      <c r="K11" s="221">
        <f>230/100*30</f>
        <v>69</v>
      </c>
      <c r="L11" s="222"/>
      <c r="M11" s="15">
        <v>0</v>
      </c>
      <c r="N11" s="5"/>
    </row>
    <row r="12" spans="1:14" ht="15.75" thickBot="1">
      <c r="A12" s="297"/>
      <c r="B12" s="278" t="s">
        <v>133</v>
      </c>
      <c r="C12" s="279"/>
      <c r="D12" s="298"/>
      <c r="E12" s="40">
        <v>8</v>
      </c>
      <c r="F12" s="40">
        <v>8</v>
      </c>
      <c r="G12" s="210">
        <v>8</v>
      </c>
      <c r="H12" s="202">
        <f>0.3/100*8</f>
        <v>2.4E-2</v>
      </c>
      <c r="I12" s="202">
        <v>0</v>
      </c>
      <c r="J12" s="202">
        <f>60.2/100*8</f>
        <v>4.8159999999999998</v>
      </c>
      <c r="K12" s="212">
        <f>248/100*8</f>
        <v>19.84</v>
      </c>
      <c r="L12" s="213"/>
      <c r="M12" s="22">
        <v>0</v>
      </c>
      <c r="N12" s="5"/>
    </row>
    <row r="13" spans="1:14" ht="15.75" thickBot="1">
      <c r="A13" s="297"/>
      <c r="B13" s="278" t="s">
        <v>44</v>
      </c>
      <c r="C13" s="279"/>
      <c r="D13" s="279"/>
      <c r="E13" s="220"/>
      <c r="F13" s="21"/>
      <c r="G13" s="137">
        <v>180</v>
      </c>
      <c r="H13" s="202"/>
      <c r="I13" s="202"/>
      <c r="J13" s="202"/>
      <c r="K13" s="307"/>
      <c r="L13" s="308"/>
      <c r="M13" s="22"/>
      <c r="N13" s="66">
        <v>263</v>
      </c>
    </row>
    <row r="14" spans="1:14" ht="15.75" thickBot="1">
      <c r="A14" s="297"/>
      <c r="B14" s="277" t="s">
        <v>210</v>
      </c>
      <c r="C14" s="277"/>
      <c r="D14" s="277"/>
      <c r="E14" s="211">
        <v>0.6</v>
      </c>
      <c r="F14" s="211">
        <v>0.6</v>
      </c>
      <c r="G14" s="211"/>
      <c r="H14" s="202">
        <f>20/100*0.6</f>
        <v>0.12</v>
      </c>
      <c r="I14" s="202">
        <v>0</v>
      </c>
      <c r="J14" s="202">
        <f>6.9/100*0.6</f>
        <v>4.1399999999999999E-2</v>
      </c>
      <c r="K14" s="221">
        <f>109/100*0.6</f>
        <v>0.65400000000000003</v>
      </c>
      <c r="L14" s="222"/>
      <c r="M14" s="22">
        <f>10/100*0.6</f>
        <v>0.06</v>
      </c>
      <c r="N14" s="211"/>
    </row>
    <row r="15" spans="1:14" ht="15.75" thickBot="1">
      <c r="A15" s="297"/>
      <c r="B15" s="280" t="s">
        <v>24</v>
      </c>
      <c r="C15" s="281"/>
      <c r="D15" s="281"/>
      <c r="E15" s="211">
        <v>8</v>
      </c>
      <c r="F15" s="211">
        <v>8</v>
      </c>
      <c r="G15" s="210"/>
      <c r="H15" s="202">
        <v>0</v>
      </c>
      <c r="I15" s="202">
        <v>0</v>
      </c>
      <c r="J15" s="202">
        <v>8</v>
      </c>
      <c r="K15" s="221">
        <v>32</v>
      </c>
      <c r="L15" s="222"/>
      <c r="M15" s="22">
        <v>0</v>
      </c>
      <c r="N15" s="5"/>
    </row>
    <row r="16" spans="1:14" ht="15.75" thickBot="1">
      <c r="A16" s="296" t="s">
        <v>5</v>
      </c>
      <c r="B16" s="278" t="s">
        <v>107</v>
      </c>
      <c r="C16" s="279"/>
      <c r="D16" s="298"/>
      <c r="E16" s="15"/>
      <c r="F16" s="15"/>
      <c r="G16" s="137">
        <v>250</v>
      </c>
      <c r="H16" s="3"/>
      <c r="I16" s="3"/>
      <c r="J16" s="3"/>
      <c r="K16" s="270"/>
      <c r="L16" s="271"/>
      <c r="M16" s="3"/>
      <c r="N16" s="5"/>
    </row>
    <row r="17" spans="1:14" ht="15.75" thickBot="1">
      <c r="A17" s="297"/>
      <c r="B17" s="277" t="s">
        <v>69</v>
      </c>
      <c r="C17" s="277"/>
      <c r="D17" s="277"/>
      <c r="E17" s="15">
        <v>20</v>
      </c>
      <c r="F17" s="15">
        <v>20</v>
      </c>
      <c r="G17" s="142"/>
      <c r="H17" s="3">
        <f>18.9/100*20</f>
        <v>3.7799999999999994</v>
      </c>
      <c r="I17" s="3">
        <v>2.48</v>
      </c>
      <c r="J17" s="3">
        <v>0</v>
      </c>
      <c r="K17" s="275">
        <v>37.4</v>
      </c>
      <c r="L17" s="276"/>
      <c r="M17" s="3">
        <v>0</v>
      </c>
      <c r="N17" s="5"/>
    </row>
    <row r="18" spans="1:14" ht="15.75" thickBot="1">
      <c r="A18" s="297"/>
      <c r="B18" s="277" t="s">
        <v>70</v>
      </c>
      <c r="C18" s="277"/>
      <c r="D18" s="277"/>
      <c r="E18" s="15">
        <v>60</v>
      </c>
      <c r="F18" s="15">
        <v>50</v>
      </c>
      <c r="G18" s="142"/>
      <c r="H18" s="3">
        <f>0.8/100*560</f>
        <v>4.4800000000000004</v>
      </c>
      <c r="I18" s="3">
        <v>0</v>
      </c>
      <c r="J18" s="3">
        <f>8.3/100*50</f>
        <v>4.1500000000000004</v>
      </c>
      <c r="K18" s="275">
        <f>37/100*50</f>
        <v>18.5</v>
      </c>
      <c r="L18" s="276"/>
      <c r="M18" s="3">
        <f>8/100*50</f>
        <v>4</v>
      </c>
      <c r="N18" s="5"/>
    </row>
    <row r="19" spans="1:14" ht="15.75" thickBot="1">
      <c r="A19" s="297"/>
      <c r="B19" s="277" t="s">
        <v>52</v>
      </c>
      <c r="C19" s="277"/>
      <c r="D19" s="277"/>
      <c r="E19" s="15">
        <v>100</v>
      </c>
      <c r="F19" s="15">
        <v>70</v>
      </c>
      <c r="G19" s="142"/>
      <c r="H19" s="3">
        <f>1.2/100*70</f>
        <v>0.84</v>
      </c>
      <c r="I19" s="3">
        <v>0</v>
      </c>
      <c r="J19" s="3">
        <f>14/100*70</f>
        <v>9.8000000000000007</v>
      </c>
      <c r="K19" s="268">
        <f>62/100*70</f>
        <v>43.4</v>
      </c>
      <c r="L19" s="269"/>
      <c r="M19" s="3">
        <f>7.5/100*70</f>
        <v>5.25</v>
      </c>
      <c r="N19" s="5"/>
    </row>
    <row r="20" spans="1:14" ht="15.75" thickBot="1">
      <c r="A20" s="297"/>
      <c r="B20" s="277" t="s">
        <v>54</v>
      </c>
      <c r="C20" s="277"/>
      <c r="D20" s="277"/>
      <c r="E20" s="15">
        <v>7</v>
      </c>
      <c r="F20" s="15">
        <v>5</v>
      </c>
      <c r="G20" s="142"/>
      <c r="H20" s="3">
        <f>0.2/100*5</f>
        <v>0.01</v>
      </c>
      <c r="I20" s="3">
        <v>0</v>
      </c>
      <c r="J20" s="3">
        <f>10/100*5</f>
        <v>0.5</v>
      </c>
      <c r="K20" s="268">
        <f>42/100*5</f>
        <v>2.1</v>
      </c>
      <c r="L20" s="269"/>
      <c r="M20" s="3">
        <f>8.5/100*5</f>
        <v>0.42500000000000004</v>
      </c>
      <c r="N20" s="5"/>
    </row>
    <row r="21" spans="1:14" ht="15.75" thickBot="1">
      <c r="A21" s="297"/>
      <c r="B21" s="280" t="s">
        <v>55</v>
      </c>
      <c r="C21" s="281"/>
      <c r="D21" s="281"/>
      <c r="E21" s="15">
        <v>7</v>
      </c>
      <c r="F21" s="15">
        <v>5</v>
      </c>
      <c r="G21" s="142"/>
      <c r="H21" s="3">
        <f>1/100*5</f>
        <v>0.05</v>
      </c>
      <c r="I21" s="3">
        <v>0</v>
      </c>
      <c r="J21" s="3">
        <f>6.1/100*5</f>
        <v>0.30499999999999999</v>
      </c>
      <c r="K21" s="268">
        <f>29/100*5</f>
        <v>1.45</v>
      </c>
      <c r="L21" s="269"/>
      <c r="M21" s="3">
        <f>4/100*5</f>
        <v>0.2</v>
      </c>
      <c r="N21" s="5"/>
    </row>
    <row r="22" spans="1:14" ht="15.75" thickBot="1">
      <c r="A22" s="297"/>
      <c r="B22" s="280" t="s">
        <v>48</v>
      </c>
      <c r="C22" s="283"/>
      <c r="D22" s="284"/>
      <c r="E22" s="15">
        <v>2</v>
      </c>
      <c r="F22" s="15">
        <v>2</v>
      </c>
      <c r="G22" s="142"/>
      <c r="H22" s="3">
        <f>0.4/100*2</f>
        <v>8.0000000000000002E-3</v>
      </c>
      <c r="I22" s="3">
        <f>78.5/100*2</f>
        <v>1.57</v>
      </c>
      <c r="J22" s="3">
        <f>0.5/100*2</f>
        <v>0.01</v>
      </c>
      <c r="K22" s="275">
        <f>734/100*2</f>
        <v>14.68</v>
      </c>
      <c r="L22" s="276"/>
      <c r="M22" s="3">
        <v>0</v>
      </c>
      <c r="N22" s="5"/>
    </row>
    <row r="23" spans="1:14" ht="15.75" thickBot="1">
      <c r="A23" s="297"/>
      <c r="B23" s="277" t="s">
        <v>60</v>
      </c>
      <c r="C23" s="277"/>
      <c r="D23" s="277"/>
      <c r="E23" s="15">
        <v>2</v>
      </c>
      <c r="F23" s="15">
        <v>2</v>
      </c>
      <c r="G23" s="142"/>
      <c r="H23" s="1">
        <v>0</v>
      </c>
      <c r="I23" s="1">
        <f>99.9/100*2</f>
        <v>1.9980000000000002</v>
      </c>
      <c r="J23" s="1">
        <v>0</v>
      </c>
      <c r="K23" s="275">
        <f>900/100*2</f>
        <v>18</v>
      </c>
      <c r="L23" s="276"/>
      <c r="M23" s="1">
        <v>0</v>
      </c>
      <c r="N23" s="5"/>
    </row>
    <row r="24" spans="1:14" ht="15.75" thickBot="1">
      <c r="A24" s="297"/>
      <c r="B24" s="277" t="s">
        <v>63</v>
      </c>
      <c r="C24" s="277"/>
      <c r="D24" s="277"/>
      <c r="E24" s="15">
        <v>8</v>
      </c>
      <c r="F24" s="15">
        <v>8</v>
      </c>
      <c r="G24" s="142"/>
      <c r="H24" s="3">
        <f>2.6/100*8</f>
        <v>0.20800000000000002</v>
      </c>
      <c r="I24" s="3">
        <f>15/100*8</f>
        <v>1.2</v>
      </c>
      <c r="J24" s="3">
        <f>3.6/100*8</f>
        <v>0.28800000000000003</v>
      </c>
      <c r="K24" s="275">
        <f>160/100*8</f>
        <v>12.8</v>
      </c>
      <c r="L24" s="276"/>
      <c r="M24" s="3">
        <v>0</v>
      </c>
      <c r="N24" s="5"/>
    </row>
    <row r="25" spans="1:14" ht="15.75" thickBot="1">
      <c r="A25" s="297"/>
      <c r="B25" s="280" t="s">
        <v>78</v>
      </c>
      <c r="C25" s="283"/>
      <c r="D25" s="284"/>
      <c r="E25" s="15">
        <v>3</v>
      </c>
      <c r="F25" s="15">
        <v>3</v>
      </c>
      <c r="G25" s="142"/>
      <c r="H25" s="3">
        <f>2.2/100*3</f>
        <v>6.6000000000000003E-2</v>
      </c>
      <c r="I25" s="3">
        <v>0</v>
      </c>
      <c r="J25" s="3">
        <f>15.8/100*3</f>
        <v>0.47399999999999998</v>
      </c>
      <c r="K25" s="268">
        <f>63.2/100*3</f>
        <v>1.8959999999999999</v>
      </c>
      <c r="L25" s="269"/>
      <c r="M25" s="3">
        <f>26/100*3</f>
        <v>0.78</v>
      </c>
      <c r="N25" s="5"/>
    </row>
    <row r="26" spans="1:14" ht="15.75" thickBot="1">
      <c r="A26" s="297"/>
      <c r="B26" s="277" t="s">
        <v>72</v>
      </c>
      <c r="C26" s="277"/>
      <c r="D26" s="277"/>
      <c r="E26" s="15">
        <v>6</v>
      </c>
      <c r="F26" s="15">
        <v>5.6</v>
      </c>
      <c r="G26" s="142"/>
      <c r="H26" s="3">
        <f>2.6/100*5.6</f>
        <v>0.14560000000000001</v>
      </c>
      <c r="I26" s="3">
        <v>0</v>
      </c>
      <c r="J26" s="3">
        <f>6.5/100*5.6</f>
        <v>0.36399999999999999</v>
      </c>
      <c r="K26" s="275">
        <f>37/100*5.6</f>
        <v>2.0720000000000001</v>
      </c>
      <c r="L26" s="276"/>
      <c r="M26" s="3">
        <f>126/100*5.6</f>
        <v>7.0559999999999992</v>
      </c>
      <c r="N26" s="5"/>
    </row>
    <row r="27" spans="1:14" ht="15.75" thickBot="1">
      <c r="A27" s="297"/>
      <c r="B27" s="278" t="s">
        <v>127</v>
      </c>
      <c r="C27" s="279"/>
      <c r="D27" s="279"/>
      <c r="E27" s="220"/>
      <c r="F27" s="21"/>
      <c r="G27" s="137">
        <v>120</v>
      </c>
      <c r="H27" s="3"/>
      <c r="I27" s="3"/>
      <c r="J27" s="3"/>
      <c r="K27" s="285"/>
      <c r="L27" s="286"/>
      <c r="M27" s="3"/>
      <c r="N27" s="66">
        <v>194</v>
      </c>
    </row>
    <row r="28" spans="1:14" ht="15.75" thickBot="1">
      <c r="A28" s="297"/>
      <c r="B28" s="277" t="s">
        <v>43</v>
      </c>
      <c r="C28" s="277"/>
      <c r="D28" s="277"/>
      <c r="E28" s="15">
        <v>50</v>
      </c>
      <c r="F28" s="15">
        <v>50</v>
      </c>
      <c r="G28" s="72"/>
      <c r="H28" s="3">
        <f>10/100*50</f>
        <v>5</v>
      </c>
      <c r="I28" s="3">
        <f>1/100*F28</f>
        <v>0.5</v>
      </c>
      <c r="J28" s="3">
        <f>71/100*50</f>
        <v>35.5</v>
      </c>
      <c r="K28" s="268">
        <f>340/100*50</f>
        <v>170</v>
      </c>
      <c r="L28" s="271"/>
      <c r="M28" s="3">
        <v>0</v>
      </c>
      <c r="N28" s="5"/>
    </row>
    <row r="29" spans="1:14" ht="15.75" thickBot="1">
      <c r="A29" s="297"/>
      <c r="B29" s="280" t="s">
        <v>23</v>
      </c>
      <c r="C29" s="281"/>
      <c r="D29" s="281"/>
      <c r="E29" s="15">
        <v>5</v>
      </c>
      <c r="F29" s="15">
        <v>5</v>
      </c>
      <c r="G29" s="73"/>
      <c r="H29" s="3">
        <f>0.4/100*5</f>
        <v>0.02</v>
      </c>
      <c r="I29" s="3">
        <f>78.5/100*5</f>
        <v>3.9250000000000003</v>
      </c>
      <c r="J29" s="3">
        <f>0.5/100*5</f>
        <v>2.5000000000000001E-2</v>
      </c>
      <c r="K29" s="268">
        <f>734/100*5</f>
        <v>36.700000000000003</v>
      </c>
      <c r="L29" s="271"/>
      <c r="M29" s="3">
        <f>0.6/100*5</f>
        <v>0.03</v>
      </c>
      <c r="N29" s="5"/>
    </row>
    <row r="30" spans="1:14" ht="15.75" thickBot="1">
      <c r="A30" s="297"/>
      <c r="B30" s="277" t="s">
        <v>36</v>
      </c>
      <c r="C30" s="277"/>
      <c r="D30" s="277"/>
      <c r="E30" s="15">
        <v>2</v>
      </c>
      <c r="F30" s="15">
        <v>2</v>
      </c>
      <c r="G30" s="73"/>
      <c r="H30" s="3">
        <v>0</v>
      </c>
      <c r="I30" s="3">
        <f>99.9/100*5</f>
        <v>4.995000000000001</v>
      </c>
      <c r="J30" s="3">
        <v>0</v>
      </c>
      <c r="K30" s="275">
        <f>900/100*2</f>
        <v>18</v>
      </c>
      <c r="L30" s="259"/>
      <c r="M30" s="3">
        <v>0</v>
      </c>
      <c r="N30" s="5"/>
    </row>
    <row r="31" spans="1:14" ht="15.75" thickBot="1">
      <c r="A31" s="297"/>
      <c r="B31" s="278" t="s">
        <v>128</v>
      </c>
      <c r="C31" s="279"/>
      <c r="D31" s="279"/>
      <c r="E31" s="220"/>
      <c r="F31" s="21"/>
      <c r="G31" s="137">
        <v>60</v>
      </c>
      <c r="H31" s="3"/>
      <c r="I31" s="3"/>
      <c r="J31" s="3"/>
      <c r="K31" s="275"/>
      <c r="L31" s="276"/>
      <c r="M31" s="3"/>
      <c r="N31" s="5"/>
    </row>
    <row r="32" spans="1:14" ht="15.75" thickBot="1">
      <c r="A32" s="297"/>
      <c r="B32" s="280" t="s">
        <v>85</v>
      </c>
      <c r="C32" s="281"/>
      <c r="D32" s="282"/>
      <c r="E32" s="15">
        <v>80</v>
      </c>
      <c r="F32" s="15">
        <v>60</v>
      </c>
      <c r="G32" s="72"/>
      <c r="H32" s="3">
        <f>15.9/100*60</f>
        <v>9.5400000000000009</v>
      </c>
      <c r="I32" s="3">
        <f>0.7/100*60</f>
        <v>0.41999999999999993</v>
      </c>
      <c r="J32" s="3">
        <v>0</v>
      </c>
      <c r="K32" s="268">
        <f>70/100*60</f>
        <v>42</v>
      </c>
      <c r="L32" s="271"/>
      <c r="M32" s="3">
        <v>0</v>
      </c>
      <c r="N32" s="5"/>
    </row>
    <row r="33" spans="1:14" ht="15.75" thickBot="1">
      <c r="A33" s="297"/>
      <c r="B33" s="280" t="s">
        <v>63</v>
      </c>
      <c r="C33" s="281"/>
      <c r="D33" s="282"/>
      <c r="E33" s="15">
        <v>6</v>
      </c>
      <c r="F33" s="15">
        <v>6</v>
      </c>
      <c r="G33" s="73"/>
      <c r="H33" s="3">
        <f>2.6/100*4</f>
        <v>0.10400000000000001</v>
      </c>
      <c r="I33" s="3">
        <f>15/100*4</f>
        <v>0.6</v>
      </c>
      <c r="J33" s="3">
        <f>3.6/100*4</f>
        <v>0.14400000000000002</v>
      </c>
      <c r="K33" s="275">
        <f>160/100*4</f>
        <v>6.4</v>
      </c>
      <c r="L33" s="276"/>
      <c r="M33" s="3">
        <v>0</v>
      </c>
      <c r="N33" s="5"/>
    </row>
    <row r="34" spans="1:14" ht="15.75" thickBot="1">
      <c r="A34" s="297"/>
      <c r="B34" s="278" t="s">
        <v>145</v>
      </c>
      <c r="C34" s="279"/>
      <c r="D34" s="279"/>
      <c r="E34" s="279"/>
      <c r="F34" s="298"/>
      <c r="G34" s="137">
        <v>70</v>
      </c>
      <c r="H34" s="1"/>
      <c r="I34" s="1"/>
      <c r="J34" s="1"/>
      <c r="K34" s="272"/>
      <c r="L34" s="273"/>
      <c r="M34" s="1"/>
      <c r="N34" s="5"/>
    </row>
    <row r="35" spans="1:14" ht="15.75" thickBot="1">
      <c r="A35" s="297"/>
      <c r="B35" s="280" t="s">
        <v>48</v>
      </c>
      <c r="C35" s="283"/>
      <c r="D35" s="284"/>
      <c r="E35" s="15">
        <v>2</v>
      </c>
      <c r="F35" s="15">
        <v>2</v>
      </c>
      <c r="G35" s="5"/>
      <c r="H35" s="3">
        <f>0.4/100*2</f>
        <v>8.0000000000000002E-3</v>
      </c>
      <c r="I35" s="3">
        <f>78.5/100*2</f>
        <v>1.57</v>
      </c>
      <c r="J35" s="3">
        <f>0.5/100*2</f>
        <v>0.01</v>
      </c>
      <c r="K35" s="275">
        <f>734/100*2</f>
        <v>14.68</v>
      </c>
      <c r="L35" s="276"/>
      <c r="M35" s="3">
        <v>0</v>
      </c>
      <c r="N35" s="5"/>
    </row>
    <row r="36" spans="1:14" ht="15.75" thickBot="1">
      <c r="A36" s="297"/>
      <c r="B36" s="277" t="s">
        <v>60</v>
      </c>
      <c r="C36" s="277"/>
      <c r="D36" s="277"/>
      <c r="E36" s="15">
        <v>2</v>
      </c>
      <c r="F36" s="15">
        <v>2</v>
      </c>
      <c r="G36" s="3"/>
      <c r="H36" s="1">
        <v>0</v>
      </c>
      <c r="I36" s="1">
        <f>99.9/100*2</f>
        <v>1.9980000000000002</v>
      </c>
      <c r="J36" s="1">
        <v>0</v>
      </c>
      <c r="K36" s="275">
        <f>900/100*2</f>
        <v>18</v>
      </c>
      <c r="L36" s="276"/>
      <c r="M36" s="1">
        <v>0</v>
      </c>
      <c r="N36" s="5"/>
    </row>
    <row r="37" spans="1:14" ht="15.75" thickBot="1">
      <c r="A37" s="297"/>
      <c r="B37" s="277" t="s">
        <v>54</v>
      </c>
      <c r="C37" s="277"/>
      <c r="D37" s="277"/>
      <c r="E37" s="15">
        <v>7</v>
      </c>
      <c r="F37" s="15">
        <v>5</v>
      </c>
      <c r="G37" s="3"/>
      <c r="H37" s="3">
        <f>0.2/100*5</f>
        <v>0.01</v>
      </c>
      <c r="I37" s="3">
        <v>0</v>
      </c>
      <c r="J37" s="3">
        <f>10/100*5</f>
        <v>0.5</v>
      </c>
      <c r="K37" s="268">
        <f>42/100*5</f>
        <v>2.1</v>
      </c>
      <c r="L37" s="271"/>
      <c r="M37" s="3">
        <f>8.5/100*5</f>
        <v>0.42500000000000004</v>
      </c>
      <c r="N37" s="5"/>
    </row>
    <row r="38" spans="1:14" ht="15.75" thickBot="1">
      <c r="A38" s="297"/>
      <c r="B38" s="280" t="s">
        <v>55</v>
      </c>
      <c r="C38" s="281"/>
      <c r="D38" s="281"/>
      <c r="E38" s="15">
        <v>7</v>
      </c>
      <c r="F38" s="15">
        <v>5</v>
      </c>
      <c r="G38" s="3"/>
      <c r="H38" s="3">
        <f>1/100*5</f>
        <v>0.05</v>
      </c>
      <c r="I38" s="3">
        <v>0</v>
      </c>
      <c r="J38" s="3">
        <f>6.1/100*5</f>
        <v>0.30499999999999999</v>
      </c>
      <c r="K38" s="268">
        <f>29/100*5</f>
        <v>1.45</v>
      </c>
      <c r="L38" s="271"/>
      <c r="M38" s="3">
        <f>4/100*5</f>
        <v>0.2</v>
      </c>
      <c r="N38" s="5"/>
    </row>
    <row r="39" spans="1:14" ht="15.75" thickBot="1">
      <c r="A39" s="297"/>
      <c r="B39" s="260"/>
      <c r="C39" s="261" t="s">
        <v>51</v>
      </c>
      <c r="D39" s="265"/>
      <c r="E39" s="15">
        <v>12</v>
      </c>
      <c r="F39" s="15">
        <v>12</v>
      </c>
      <c r="G39" s="5"/>
      <c r="H39" s="3">
        <f>10.3/100*12</f>
        <v>1.2360000000000002</v>
      </c>
      <c r="I39" s="3">
        <f>1.1/100*12</f>
        <v>0.13200000000000001</v>
      </c>
      <c r="J39" s="3">
        <f>70.6/100*12</f>
        <v>8.4719999999999995</v>
      </c>
      <c r="K39" s="268">
        <f>334/100*12</f>
        <v>40.08</v>
      </c>
      <c r="L39" s="271"/>
      <c r="M39" s="3">
        <v>0</v>
      </c>
      <c r="N39" s="5"/>
    </row>
    <row r="40" spans="1:14" ht="15.75" thickBot="1">
      <c r="A40" s="297"/>
      <c r="B40" s="280" t="s">
        <v>78</v>
      </c>
      <c r="C40" s="283"/>
      <c r="D40" s="284"/>
      <c r="E40" s="15">
        <v>7</v>
      </c>
      <c r="F40" s="15">
        <v>7</v>
      </c>
      <c r="G40" s="5"/>
      <c r="H40" s="3">
        <f>2.2/100*7</f>
        <v>0.15400000000000003</v>
      </c>
      <c r="I40" s="3">
        <v>0</v>
      </c>
      <c r="J40" s="3">
        <f>15.8/100*7</f>
        <v>1.1060000000000001</v>
      </c>
      <c r="K40" s="268">
        <f>63.2/100*7</f>
        <v>4.4240000000000004</v>
      </c>
      <c r="L40" s="271"/>
      <c r="M40" s="3">
        <f>26/100*7</f>
        <v>1.82</v>
      </c>
      <c r="N40" s="5"/>
    </row>
    <row r="41" spans="1:14" ht="15.75" thickBot="1">
      <c r="A41" s="297"/>
      <c r="B41" s="277" t="s">
        <v>72</v>
      </c>
      <c r="C41" s="277"/>
      <c r="D41" s="277"/>
      <c r="E41" s="15">
        <v>3</v>
      </c>
      <c r="F41" s="15">
        <v>2.8</v>
      </c>
      <c r="G41" s="3"/>
      <c r="H41" s="1">
        <f>0.8/1400*2.8</f>
        <v>1.6000000000000001E-3</v>
      </c>
      <c r="I41" s="1">
        <v>0</v>
      </c>
      <c r="J41" s="1">
        <f>3.3/100*2.8</f>
        <v>9.2399999999999996E-2</v>
      </c>
      <c r="K41" s="275">
        <f>17/100*2.8</f>
        <v>0.47599999999999998</v>
      </c>
      <c r="L41" s="276"/>
      <c r="M41" s="1">
        <f>7.06/2</f>
        <v>3.53</v>
      </c>
      <c r="N41" s="5"/>
    </row>
    <row r="42" spans="1:14" ht="15.75" thickBot="1">
      <c r="A42" s="297"/>
      <c r="B42" s="278" t="s">
        <v>246</v>
      </c>
      <c r="C42" s="279"/>
      <c r="D42" s="279"/>
      <c r="E42" s="206"/>
      <c r="F42" s="205"/>
      <c r="G42" s="66">
        <v>50</v>
      </c>
      <c r="H42" s="202">
        <f>7/100*50</f>
        <v>3.5000000000000004</v>
      </c>
      <c r="I42" s="202">
        <f>1/100*50</f>
        <v>0.5</v>
      </c>
      <c r="J42" s="202">
        <f>46/100*50</f>
        <v>23</v>
      </c>
      <c r="K42" s="221">
        <f>200/100*50</f>
        <v>100</v>
      </c>
      <c r="L42" s="222"/>
      <c r="M42" s="22">
        <v>0</v>
      </c>
      <c r="N42" s="5"/>
    </row>
    <row r="43" spans="1:14" ht="15.75" thickBot="1">
      <c r="A43" s="297"/>
      <c r="B43" s="278" t="s">
        <v>40</v>
      </c>
      <c r="C43" s="279"/>
      <c r="D43" s="279"/>
      <c r="E43" s="220"/>
      <c r="F43" s="21"/>
      <c r="G43" s="66">
        <v>180</v>
      </c>
      <c r="H43" s="202"/>
      <c r="I43" s="202"/>
      <c r="J43" s="202"/>
      <c r="K43" s="212"/>
      <c r="L43" s="213"/>
      <c r="M43" s="22"/>
      <c r="N43" s="5"/>
    </row>
    <row r="44" spans="1:14" ht="15.75" thickBot="1">
      <c r="A44" s="297"/>
      <c r="B44" s="280" t="s">
        <v>57</v>
      </c>
      <c r="C44" s="281"/>
      <c r="D44" s="282"/>
      <c r="E44" s="211">
        <v>11</v>
      </c>
      <c r="F44" s="211">
        <v>16.5</v>
      </c>
      <c r="G44" s="3"/>
      <c r="H44" s="202">
        <f>0.63/100*16.5</f>
        <v>0.10395</v>
      </c>
      <c r="I44" s="202">
        <v>0</v>
      </c>
      <c r="J44" s="202">
        <f>10.06/100*16.5</f>
        <v>1.6599000000000002</v>
      </c>
      <c r="K44" s="221">
        <f>40.87/100*16.5</f>
        <v>6.743549999999999</v>
      </c>
      <c r="L44" s="222"/>
      <c r="M44" s="22">
        <f>0.46/100*16.5</f>
        <v>7.5899999999999995E-2</v>
      </c>
      <c r="N44" s="5"/>
    </row>
    <row r="45" spans="1:14" ht="15.75" thickBot="1">
      <c r="A45" s="297"/>
      <c r="B45" s="280" t="s">
        <v>47</v>
      </c>
      <c r="C45" s="281"/>
      <c r="D45" s="282"/>
      <c r="E45" s="211">
        <v>10</v>
      </c>
      <c r="F45" s="211">
        <v>10</v>
      </c>
      <c r="G45" s="5"/>
      <c r="H45" s="202">
        <v>0</v>
      </c>
      <c r="I45" s="202">
        <v>0</v>
      </c>
      <c r="J45" s="202">
        <f>100/100*10</f>
        <v>10</v>
      </c>
      <c r="K45" s="221">
        <f>400/100*10</f>
        <v>40</v>
      </c>
      <c r="L45" s="222"/>
      <c r="M45" s="22">
        <v>0</v>
      </c>
      <c r="N45" s="5"/>
    </row>
    <row r="46" spans="1:14" ht="15.75" thickBot="1">
      <c r="A46" s="296" t="s">
        <v>6</v>
      </c>
      <c r="B46" s="209" t="s">
        <v>184</v>
      </c>
      <c r="C46" s="13"/>
      <c r="D46" s="13"/>
      <c r="E46" s="220"/>
      <c r="F46" s="21"/>
      <c r="G46" s="66">
        <v>20</v>
      </c>
      <c r="H46" s="202">
        <f>5.5/100*20</f>
        <v>1.1000000000000001</v>
      </c>
      <c r="I46" s="202">
        <f>23/100*20</f>
        <v>4.6000000000000005</v>
      </c>
      <c r="J46" s="202">
        <f>67/100*20</f>
        <v>13.4</v>
      </c>
      <c r="K46" s="221">
        <f>490/100*20</f>
        <v>98</v>
      </c>
      <c r="L46" s="222"/>
      <c r="M46" s="22">
        <v>0</v>
      </c>
      <c r="N46" s="5"/>
    </row>
    <row r="47" spans="1:14" ht="15.75" thickBot="1">
      <c r="A47" s="297"/>
      <c r="B47" s="12" t="s">
        <v>124</v>
      </c>
      <c r="C47" s="13"/>
      <c r="D47" s="13"/>
      <c r="E47" s="206"/>
      <c r="F47" s="205"/>
      <c r="G47" s="66">
        <v>180</v>
      </c>
      <c r="H47" s="202"/>
      <c r="I47" s="202"/>
      <c r="J47" s="202"/>
      <c r="K47" s="212"/>
      <c r="L47" s="213"/>
      <c r="M47" s="22"/>
      <c r="N47" s="68"/>
    </row>
    <row r="48" spans="1:14" ht="15.75" thickBot="1">
      <c r="A48" s="297"/>
      <c r="B48" s="314" t="s">
        <v>62</v>
      </c>
      <c r="C48" s="314"/>
      <c r="D48" s="314"/>
      <c r="E48" s="211">
        <v>0.6</v>
      </c>
      <c r="F48" s="211">
        <v>0.6</v>
      </c>
      <c r="G48" s="211"/>
      <c r="H48" s="202">
        <f>20/100*0.6</f>
        <v>0.12</v>
      </c>
      <c r="I48" s="202">
        <v>0</v>
      </c>
      <c r="J48" s="202">
        <f>6.9/100*0.6</f>
        <v>4.1399999999999999E-2</v>
      </c>
      <c r="K48" s="221">
        <f>109/100*0.6</f>
        <v>0.65400000000000003</v>
      </c>
      <c r="L48" s="222"/>
      <c r="M48" s="22">
        <f>10/100*0.6</f>
        <v>0.06</v>
      </c>
      <c r="N48" s="211"/>
    </row>
    <row r="49" spans="1:18" ht="15.75" thickBot="1">
      <c r="A49" s="306"/>
      <c r="B49" s="44"/>
      <c r="C49" s="219" t="s">
        <v>46</v>
      </c>
      <c r="D49" s="219"/>
      <c r="E49" s="211">
        <v>50</v>
      </c>
      <c r="F49" s="211">
        <v>50</v>
      </c>
      <c r="G49" s="68"/>
      <c r="H49" s="202">
        <f>2.8/100*50</f>
        <v>1.4</v>
      </c>
      <c r="I49" s="202">
        <f>2.5/100*50</f>
        <v>1.25</v>
      </c>
      <c r="J49" s="202">
        <f>4.7/100*50</f>
        <v>2.35</v>
      </c>
      <c r="K49" s="221">
        <f>55/100*50</f>
        <v>27.500000000000004</v>
      </c>
      <c r="L49" s="222"/>
      <c r="M49" s="22">
        <f>1/100*50</f>
        <v>0.5</v>
      </c>
      <c r="N49" s="68"/>
    </row>
    <row r="50" spans="1:18" ht="15.75" thickBot="1">
      <c r="A50" s="293" t="s">
        <v>7</v>
      </c>
      <c r="B50" s="278" t="s">
        <v>73</v>
      </c>
      <c r="C50" s="279"/>
      <c r="D50" s="279"/>
      <c r="E50" s="220"/>
      <c r="F50" s="21"/>
      <c r="G50" s="137">
        <v>125</v>
      </c>
      <c r="H50" s="202"/>
      <c r="I50" s="202"/>
      <c r="J50" s="202"/>
      <c r="K50" s="307"/>
      <c r="L50" s="308"/>
      <c r="M50" s="22"/>
      <c r="N50" s="5"/>
    </row>
    <row r="51" spans="1:18" ht="15.75" thickBot="1">
      <c r="A51" s="294"/>
      <c r="B51" s="277" t="s">
        <v>74</v>
      </c>
      <c r="C51" s="277"/>
      <c r="D51" s="277"/>
      <c r="E51" s="15">
        <v>80</v>
      </c>
      <c r="F51" s="15">
        <v>80</v>
      </c>
      <c r="G51" s="3"/>
      <c r="H51" s="202">
        <f>16/100*80</f>
        <v>12.8</v>
      </c>
      <c r="I51" s="202">
        <f>9/100*80</f>
        <v>7.1999999999999993</v>
      </c>
      <c r="J51" s="202">
        <f>3/100*80</f>
        <v>2.4</v>
      </c>
      <c r="K51" s="221">
        <f>157/100*80</f>
        <v>125.60000000000001</v>
      </c>
      <c r="L51" s="222"/>
      <c r="M51" s="221">
        <f>0.5/100*100</f>
        <v>0.5</v>
      </c>
      <c r="N51" s="5"/>
    </row>
    <row r="52" spans="1:18" ht="15.75" thickBot="1">
      <c r="A52" s="294"/>
      <c r="B52" s="280" t="s">
        <v>48</v>
      </c>
      <c r="C52" s="281"/>
      <c r="D52" s="281"/>
      <c r="E52" s="15">
        <v>5</v>
      </c>
      <c r="F52" s="15">
        <v>5</v>
      </c>
      <c r="G52" s="3"/>
      <c r="H52" s="202">
        <f>0.4/100*5</f>
        <v>0.02</v>
      </c>
      <c r="I52" s="202">
        <f>78.5/100*5</f>
        <v>3.9250000000000003</v>
      </c>
      <c r="J52" s="202">
        <f>0.5/100*5</f>
        <v>2.5000000000000001E-2</v>
      </c>
      <c r="K52" s="221">
        <f>734/100*5</f>
        <v>36.700000000000003</v>
      </c>
      <c r="L52" s="222"/>
      <c r="M52" s="22">
        <v>0</v>
      </c>
      <c r="N52" s="5"/>
    </row>
    <row r="53" spans="1:18" ht="15.75" thickBot="1">
      <c r="A53" s="294"/>
      <c r="B53" s="277" t="s">
        <v>50</v>
      </c>
      <c r="C53" s="277"/>
      <c r="D53" s="277"/>
      <c r="E53" s="15">
        <v>5</v>
      </c>
      <c r="F53" s="15">
        <v>5</v>
      </c>
      <c r="G53" s="3"/>
      <c r="H53" s="202">
        <f>12.7/100*5</f>
        <v>0.63500000000000001</v>
      </c>
      <c r="I53" s="202">
        <f>11.5/100*5</f>
        <v>0.57500000000000007</v>
      </c>
      <c r="J53" s="202">
        <f>0.7/100*5</f>
        <v>3.4999999999999996E-2</v>
      </c>
      <c r="K53" s="212">
        <f>241/100*5</f>
        <v>12.05</v>
      </c>
      <c r="L53" s="213"/>
      <c r="M53" s="22">
        <v>0</v>
      </c>
      <c r="N53" s="5"/>
    </row>
    <row r="54" spans="1:18" ht="15.75" thickBot="1">
      <c r="A54" s="294"/>
      <c r="B54" s="280" t="s">
        <v>47</v>
      </c>
      <c r="C54" s="283"/>
      <c r="D54" s="284"/>
      <c r="E54" s="15">
        <v>10</v>
      </c>
      <c r="F54" s="15">
        <v>10</v>
      </c>
      <c r="G54" s="3"/>
      <c r="H54" s="202">
        <v>0</v>
      </c>
      <c r="I54" s="202">
        <v>0</v>
      </c>
      <c r="J54" s="202">
        <f>100/100*10</f>
        <v>10</v>
      </c>
      <c r="K54" s="221">
        <f>400/100*10</f>
        <v>40</v>
      </c>
      <c r="L54" s="222"/>
      <c r="M54" s="22">
        <v>0</v>
      </c>
      <c r="N54" s="5"/>
    </row>
    <row r="55" spans="1:18" ht="15.75" thickBot="1">
      <c r="A55" s="294"/>
      <c r="B55" s="280" t="s">
        <v>51</v>
      </c>
      <c r="C55" s="283"/>
      <c r="D55" s="284"/>
      <c r="E55" s="15">
        <v>20</v>
      </c>
      <c r="F55" s="15">
        <v>20</v>
      </c>
      <c r="G55" s="3"/>
      <c r="H55" s="202">
        <f>10.3/100*20</f>
        <v>2.06</v>
      </c>
      <c r="I55" s="202">
        <f>1.1/100*20</f>
        <v>0.22000000000000003</v>
      </c>
      <c r="J55" s="202">
        <f>70.6/100*20</f>
        <v>14.12</v>
      </c>
      <c r="K55" s="212">
        <f>334/100*20</f>
        <v>66.8</v>
      </c>
      <c r="L55" s="213"/>
      <c r="M55" s="22">
        <v>0</v>
      </c>
      <c r="N55" s="5"/>
    </row>
    <row r="56" spans="1:18" ht="15.75" thickBot="1">
      <c r="A56" s="294"/>
      <c r="B56" s="209" t="s">
        <v>166</v>
      </c>
      <c r="C56" s="206"/>
      <c r="D56" s="206"/>
      <c r="E56" s="220"/>
      <c r="F56" s="21"/>
      <c r="G56" s="137">
        <v>70</v>
      </c>
      <c r="H56" s="233"/>
      <c r="I56" s="233"/>
      <c r="J56" s="233"/>
      <c r="K56" s="212"/>
      <c r="L56" s="213"/>
      <c r="M56" s="15"/>
      <c r="N56" s="5"/>
    </row>
    <row r="57" spans="1:18" ht="15.75" thickBot="1">
      <c r="A57" s="294"/>
      <c r="B57" s="280" t="s">
        <v>46</v>
      </c>
      <c r="C57" s="281"/>
      <c r="D57" s="281"/>
      <c r="E57" s="15">
        <v>25</v>
      </c>
      <c r="F57" s="15">
        <v>25</v>
      </c>
      <c r="G57" s="211"/>
      <c r="H57" s="233">
        <f>2.8/100*25</f>
        <v>0.7</v>
      </c>
      <c r="I57" s="233">
        <f>22.5/100*25</f>
        <v>5.625</v>
      </c>
      <c r="J57" s="233">
        <f>4.7/100*25</f>
        <v>1.175</v>
      </c>
      <c r="K57" s="89">
        <f>55/100*25</f>
        <v>13.750000000000002</v>
      </c>
      <c r="L57" s="90"/>
      <c r="M57" s="15">
        <f>1/100*25</f>
        <v>0.25</v>
      </c>
      <c r="N57" s="211"/>
    </row>
    <row r="58" spans="1:18" ht="15.75" thickBot="1">
      <c r="A58" s="294"/>
      <c r="B58" s="280" t="s">
        <v>51</v>
      </c>
      <c r="C58" s="283"/>
      <c r="D58" s="284"/>
      <c r="E58" s="15">
        <v>5</v>
      </c>
      <c r="F58" s="15">
        <v>5</v>
      </c>
      <c r="G58" s="3"/>
      <c r="H58" s="202">
        <f>10.3/100*5</f>
        <v>0.51500000000000001</v>
      </c>
      <c r="I58" s="202">
        <f>1.1/100*5</f>
        <v>5.5000000000000007E-2</v>
      </c>
      <c r="J58" s="202">
        <f>70.6/100*5</f>
        <v>3.53</v>
      </c>
      <c r="K58" s="212">
        <f>334/100*5</f>
        <v>16.7</v>
      </c>
      <c r="L58" s="213"/>
      <c r="M58" s="22">
        <v>0</v>
      </c>
      <c r="N58" s="5"/>
    </row>
    <row r="59" spans="1:18" ht="15.75" thickBot="1">
      <c r="A59" s="294"/>
      <c r="B59" s="217"/>
      <c r="C59" s="206" t="s">
        <v>47</v>
      </c>
      <c r="D59" s="206"/>
      <c r="E59" s="15">
        <v>5</v>
      </c>
      <c r="F59" s="15">
        <v>5</v>
      </c>
      <c r="G59" s="1"/>
      <c r="H59" s="202">
        <v>0</v>
      </c>
      <c r="I59" s="202">
        <v>0</v>
      </c>
      <c r="J59" s="202">
        <f>100/100*5</f>
        <v>5</v>
      </c>
      <c r="K59" s="221">
        <f>400/100*5</f>
        <v>20</v>
      </c>
      <c r="L59" s="222"/>
      <c r="M59" s="22">
        <v>0</v>
      </c>
      <c r="N59" s="5"/>
    </row>
    <row r="60" spans="1:18" ht="15.75" thickBot="1">
      <c r="A60" s="294"/>
      <c r="B60" s="278" t="s">
        <v>207</v>
      </c>
      <c r="C60" s="279"/>
      <c r="D60" s="279"/>
      <c r="E60" s="206"/>
      <c r="F60" s="205"/>
      <c r="G60" s="210">
        <v>30</v>
      </c>
      <c r="H60" s="233">
        <f>7/100*30</f>
        <v>2.1</v>
      </c>
      <c r="I60" s="233">
        <f>1/100*30</f>
        <v>0.3</v>
      </c>
      <c r="J60" s="233">
        <f>47/100*30</f>
        <v>14.1</v>
      </c>
      <c r="K60" s="221">
        <f>230/100*30</f>
        <v>69</v>
      </c>
      <c r="L60" s="222"/>
      <c r="M60" s="15">
        <v>0</v>
      </c>
      <c r="N60" s="5"/>
      <c r="Q60" s="25"/>
      <c r="R60" s="25"/>
    </row>
    <row r="61" spans="1:18" ht="15.75" thickBot="1">
      <c r="A61" s="294"/>
      <c r="B61" s="278" t="s">
        <v>244</v>
      </c>
      <c r="C61" s="279"/>
      <c r="D61" s="298"/>
      <c r="E61" s="15"/>
      <c r="F61" s="15"/>
      <c r="G61" s="210">
        <v>180</v>
      </c>
      <c r="H61" s="233"/>
      <c r="I61" s="233"/>
      <c r="J61" s="233"/>
      <c r="K61" s="221"/>
      <c r="L61" s="222"/>
      <c r="M61" s="15"/>
      <c r="N61" s="5"/>
    </row>
    <row r="62" spans="1:18" ht="15.75" thickBot="1">
      <c r="A62" s="294"/>
      <c r="B62" s="277" t="s">
        <v>62</v>
      </c>
      <c r="C62" s="277"/>
      <c r="D62" s="277"/>
      <c r="E62" s="15">
        <v>0.6</v>
      </c>
      <c r="F62" s="15">
        <v>0.6</v>
      </c>
      <c r="G62" s="43"/>
      <c r="H62" s="202">
        <f>20/100*0.6</f>
        <v>0.12</v>
      </c>
      <c r="I62" s="202">
        <v>0</v>
      </c>
      <c r="J62" s="202">
        <f>6.9/100*0.6</f>
        <v>4.1399999999999999E-2</v>
      </c>
      <c r="K62" s="221">
        <f>109/100*0.6</f>
        <v>0.65400000000000003</v>
      </c>
      <c r="L62" s="222"/>
      <c r="M62" s="22">
        <f>10/100*0.6</f>
        <v>0.06</v>
      </c>
      <c r="N62" s="43"/>
    </row>
    <row r="63" spans="1:18" ht="15.75" thickBot="1">
      <c r="A63" s="295"/>
      <c r="B63" s="23"/>
      <c r="C63" s="42" t="s">
        <v>47</v>
      </c>
      <c r="D63" s="42"/>
      <c r="E63" s="15">
        <v>8</v>
      </c>
      <c r="F63" s="15">
        <v>8</v>
      </c>
      <c r="G63" s="1"/>
      <c r="H63" s="202">
        <v>0</v>
      </c>
      <c r="I63" s="202">
        <v>0</v>
      </c>
      <c r="J63" s="202">
        <f>100/100*8</f>
        <v>8</v>
      </c>
      <c r="K63" s="221">
        <f>400/100*8</f>
        <v>32</v>
      </c>
      <c r="L63" s="222"/>
      <c r="M63" s="22">
        <v>0</v>
      </c>
      <c r="N63" s="5"/>
    </row>
    <row r="64" spans="1:18">
      <c r="H64" s="37">
        <f t="shared" ref="H64:M64" si="1">SUM(H7:H63)</f>
        <v>59.429149999999993</v>
      </c>
      <c r="I64" s="37">
        <f t="shared" si="1"/>
        <v>49.988000000000007</v>
      </c>
      <c r="J64" s="37">
        <f t="shared" si="1"/>
        <v>234.13050000000007</v>
      </c>
      <c r="K64" s="37">
        <f t="shared" si="1"/>
        <v>1543.7535499999999</v>
      </c>
      <c r="L64" s="37">
        <f t="shared" si="1"/>
        <v>0</v>
      </c>
      <c r="M64" s="37">
        <f t="shared" si="1"/>
        <v>26.733899999999998</v>
      </c>
    </row>
  </sheetData>
  <mergeCells count="66">
    <mergeCell ref="B34:F34"/>
    <mergeCell ref="B41:D41"/>
    <mergeCell ref="B16:D16"/>
    <mergeCell ref="B21:D21"/>
    <mergeCell ref="B25:D25"/>
    <mergeCell ref="K27:L27"/>
    <mergeCell ref="B32:D32"/>
    <mergeCell ref="M3:M4"/>
    <mergeCell ref="N3:N4"/>
    <mergeCell ref="B6:F6"/>
    <mergeCell ref="B7:D7"/>
    <mergeCell ref="B8:D8"/>
    <mergeCell ref="E3:F3"/>
    <mergeCell ref="G3:G4"/>
    <mergeCell ref="H3:J3"/>
    <mergeCell ref="K3:L4"/>
    <mergeCell ref="B10:D10"/>
    <mergeCell ref="B11:D11"/>
    <mergeCell ref="B12:D12"/>
    <mergeCell ref="A3:A4"/>
    <mergeCell ref="B3:D4"/>
    <mergeCell ref="A6:A15"/>
    <mergeCell ref="B13:D13"/>
    <mergeCell ref="B14:D14"/>
    <mergeCell ref="B15:D15"/>
    <mergeCell ref="B9:D9"/>
    <mergeCell ref="A16:A45"/>
    <mergeCell ref="B22:D22"/>
    <mergeCell ref="B17:D17"/>
    <mergeCell ref="B18:D18"/>
    <mergeCell ref="B19:D19"/>
    <mergeCell ref="B20:D20"/>
    <mergeCell ref="B24:D24"/>
    <mergeCell ref="B40:D40"/>
    <mergeCell ref="B38:D38"/>
    <mergeCell ref="B35:D35"/>
    <mergeCell ref="B28:D28"/>
    <mergeCell ref="B29:D29"/>
    <mergeCell ref="B30:D30"/>
    <mergeCell ref="B31:D31"/>
    <mergeCell ref="K13:L13"/>
    <mergeCell ref="B23:D23"/>
    <mergeCell ref="B33:D33"/>
    <mergeCell ref="B48:D48"/>
    <mergeCell ref="B42:D42"/>
    <mergeCell ref="B43:D43"/>
    <mergeCell ref="B45:D45"/>
    <mergeCell ref="B26:D26"/>
    <mergeCell ref="B27:D27"/>
    <mergeCell ref="B36:D36"/>
    <mergeCell ref="B37:D37"/>
    <mergeCell ref="B44:D44"/>
    <mergeCell ref="A46:A49"/>
    <mergeCell ref="B50:D50"/>
    <mergeCell ref="K50:L50"/>
    <mergeCell ref="B51:D51"/>
    <mergeCell ref="B52:D52"/>
    <mergeCell ref="B60:D60"/>
    <mergeCell ref="A50:A63"/>
    <mergeCell ref="B53:D53"/>
    <mergeCell ref="B54:D54"/>
    <mergeCell ref="B55:D55"/>
    <mergeCell ref="B57:D57"/>
    <mergeCell ref="B58:D58"/>
    <mergeCell ref="B61:D61"/>
    <mergeCell ref="B62:D62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73"/>
  <sheetViews>
    <sheetView zoomScaleNormal="100" workbookViewId="0">
      <pane ySplit="5" topLeftCell="A6" activePane="bottomLeft" state="frozen"/>
      <selection pane="bottomLeft" activeCell="I72" sqref="I72"/>
    </sheetView>
  </sheetViews>
  <sheetFormatPr defaultRowHeight="15"/>
  <cols>
    <col min="1" max="1" width="13" customWidth="1"/>
    <col min="12" max="12" width="2.7109375" customWidth="1"/>
  </cols>
  <sheetData>
    <row r="1" spans="1:14" ht="18.75">
      <c r="F1" s="51" t="s">
        <v>90</v>
      </c>
    </row>
    <row r="2" spans="1:14" ht="15.75" thickBot="1"/>
    <row r="3" spans="1:14" ht="15.75" customHeight="1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89" t="s">
        <v>93</v>
      </c>
      <c r="L3" s="289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290"/>
      <c r="L4" s="290"/>
      <c r="M4" s="290"/>
      <c r="N4" s="290"/>
    </row>
    <row r="5" spans="1:14" ht="15.75" thickBot="1">
      <c r="A5" s="2" t="s">
        <v>90</v>
      </c>
      <c r="B5" s="12"/>
      <c r="C5" s="13"/>
      <c r="D5" s="13"/>
      <c r="E5" s="13"/>
      <c r="F5" s="13"/>
      <c r="G5" s="195"/>
      <c r="H5" s="74">
        <f>H70</f>
        <v>52.945650000000008</v>
      </c>
      <c r="I5" s="74">
        <f>I70</f>
        <v>63.889999999999986</v>
      </c>
      <c r="J5" s="74">
        <f>J70</f>
        <v>1059.7853000000002</v>
      </c>
      <c r="K5" s="196">
        <f>K70</f>
        <v>1674.9580499999997</v>
      </c>
      <c r="L5" s="197"/>
      <c r="M5" s="74">
        <f>M70</f>
        <v>50.4754</v>
      </c>
      <c r="N5" s="195"/>
    </row>
    <row r="6" spans="1:14" ht="15.75" thickBot="1">
      <c r="A6" s="296" t="s">
        <v>4</v>
      </c>
      <c r="B6" s="278" t="s">
        <v>173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84</v>
      </c>
      <c r="C7" s="281"/>
      <c r="D7" s="282"/>
      <c r="E7" s="257">
        <v>30</v>
      </c>
      <c r="F7" s="257">
        <v>30</v>
      </c>
      <c r="G7" s="257"/>
      <c r="H7" s="257">
        <f>8.8/100*30</f>
        <v>2.64</v>
      </c>
      <c r="I7" s="257">
        <f>1.7/100*30</f>
        <v>0.51</v>
      </c>
      <c r="J7" s="257">
        <f>75/100*30</f>
        <v>22.5</v>
      </c>
      <c r="K7" s="89">
        <f>326/100*30</f>
        <v>97.8</v>
      </c>
      <c r="L7" s="8"/>
      <c r="M7" s="257">
        <v>0</v>
      </c>
      <c r="N7" s="257"/>
    </row>
    <row r="8" spans="1:14" ht="15.75" thickBot="1">
      <c r="A8" s="297"/>
      <c r="B8" s="280" t="s">
        <v>46</v>
      </c>
      <c r="C8" s="281"/>
      <c r="D8" s="281"/>
      <c r="E8" s="257">
        <v>150</v>
      </c>
      <c r="F8" s="257">
        <v>150</v>
      </c>
      <c r="G8" s="257"/>
      <c r="H8" s="257">
        <f>2.8/100*150</f>
        <v>4.1999999999999993</v>
      </c>
      <c r="I8" s="257">
        <f>2.5/100*150</f>
        <v>3.75</v>
      </c>
      <c r="J8" s="257">
        <f>4.7/100*150</f>
        <v>7.05</v>
      </c>
      <c r="K8" s="89">
        <f>55/100*150</f>
        <v>82.5</v>
      </c>
      <c r="L8" s="8"/>
      <c r="M8" s="257">
        <f>1/100*150</f>
        <v>1.5</v>
      </c>
      <c r="N8" s="257"/>
    </row>
    <row r="9" spans="1:14" ht="15.75" thickBot="1">
      <c r="A9" s="297"/>
      <c r="B9" s="280" t="s">
        <v>48</v>
      </c>
      <c r="C9" s="281"/>
      <c r="D9" s="281"/>
      <c r="E9" s="257">
        <v>5</v>
      </c>
      <c r="F9" s="257">
        <v>5</v>
      </c>
      <c r="G9" s="257"/>
      <c r="H9" s="257">
        <v>0</v>
      </c>
      <c r="I9" s="257">
        <v>0</v>
      </c>
      <c r="J9" s="257">
        <f>100/100*5</f>
        <v>5</v>
      </c>
      <c r="K9" s="89">
        <f>400/100*5</f>
        <v>20</v>
      </c>
      <c r="L9" s="8"/>
      <c r="M9" s="257">
        <v>0</v>
      </c>
      <c r="N9" s="257"/>
    </row>
    <row r="10" spans="1:14" ht="15.75" thickBot="1">
      <c r="A10" s="297"/>
      <c r="B10" s="280" t="s">
        <v>47</v>
      </c>
      <c r="C10" s="281"/>
      <c r="D10" s="281"/>
      <c r="E10" s="257">
        <v>5</v>
      </c>
      <c r="F10" s="257">
        <v>5</v>
      </c>
      <c r="G10" s="257"/>
      <c r="H10" s="257">
        <f>0.4/100*5</f>
        <v>0.02</v>
      </c>
      <c r="I10" s="257">
        <f>78.5/100*5</f>
        <v>3.9250000000000003</v>
      </c>
      <c r="J10" s="257">
        <f>0.5/100*5</f>
        <v>2.5000000000000001E-2</v>
      </c>
      <c r="K10" s="218">
        <f>734/100*5</f>
        <v>36.700000000000003</v>
      </c>
      <c r="L10" s="262"/>
      <c r="M10" s="257">
        <f>0.6/100*5</f>
        <v>0.03</v>
      </c>
      <c r="N10" s="257"/>
    </row>
    <row r="11" spans="1:14" ht="15.75" thickBot="1">
      <c r="A11" s="297"/>
      <c r="B11" s="278" t="s">
        <v>207</v>
      </c>
      <c r="C11" s="279"/>
      <c r="D11" s="279"/>
      <c r="E11" s="198"/>
      <c r="F11" s="199"/>
      <c r="G11" s="70">
        <v>30</v>
      </c>
      <c r="H11" s="3">
        <f>7/100*30</f>
        <v>2.1</v>
      </c>
      <c r="I11" s="3">
        <f>1/100*30</f>
        <v>0.3</v>
      </c>
      <c r="J11" s="3">
        <f>47/100*30</f>
        <v>14.1</v>
      </c>
      <c r="K11" s="275">
        <f>230/100*30</f>
        <v>69</v>
      </c>
      <c r="L11" s="276"/>
      <c r="M11" s="4">
        <v>0</v>
      </c>
      <c r="N11" s="5"/>
    </row>
    <row r="12" spans="1:14" ht="15.75" thickBot="1">
      <c r="A12" s="297"/>
      <c r="B12" s="278" t="s">
        <v>188</v>
      </c>
      <c r="C12" s="279"/>
      <c r="D12" s="279"/>
      <c r="E12" s="198"/>
      <c r="F12" s="199"/>
      <c r="G12" s="70">
        <v>10</v>
      </c>
      <c r="H12" s="3">
        <f>7.7/100*10</f>
        <v>0.77</v>
      </c>
      <c r="I12" s="3">
        <f>8.5/100*10</f>
        <v>0.85000000000000009</v>
      </c>
      <c r="J12" s="3">
        <f>54.5/100*10</f>
        <v>5.45</v>
      </c>
      <c r="K12" s="275">
        <f>330/100*10</f>
        <v>33</v>
      </c>
      <c r="L12" s="276"/>
      <c r="M12" s="4">
        <v>0</v>
      </c>
      <c r="N12" s="5"/>
    </row>
    <row r="13" spans="1:14" ht="15.75" thickBot="1">
      <c r="A13" s="297"/>
      <c r="B13" s="278" t="s">
        <v>178</v>
      </c>
      <c r="C13" s="279"/>
      <c r="D13" s="279"/>
      <c r="E13" s="261"/>
      <c r="F13" s="262"/>
      <c r="G13" s="266">
        <v>180</v>
      </c>
      <c r="H13" s="257"/>
      <c r="I13" s="257"/>
      <c r="J13" s="257"/>
      <c r="K13" s="7"/>
      <c r="L13" s="8"/>
      <c r="M13" s="257"/>
      <c r="N13" s="257"/>
    </row>
    <row r="14" spans="1:14" ht="15.75" thickBot="1">
      <c r="A14" s="297"/>
      <c r="B14" s="280" t="s">
        <v>49</v>
      </c>
      <c r="C14" s="281"/>
      <c r="D14" s="281"/>
      <c r="E14" s="257">
        <v>0.6</v>
      </c>
      <c r="F14" s="257">
        <v>0.6</v>
      </c>
      <c r="G14" s="257"/>
      <c r="H14" s="4">
        <f>24.5/100*0.6</f>
        <v>0.14699999999999999</v>
      </c>
      <c r="I14" s="4">
        <f>12.5/100*0.6</f>
        <v>7.4999999999999997E-2</v>
      </c>
      <c r="J14" s="4">
        <f>29.5/100*0.6</f>
        <v>0.17699999999999999</v>
      </c>
      <c r="K14" s="275">
        <f>338/100*0.6</f>
        <v>2.028</v>
      </c>
      <c r="L14" s="276"/>
      <c r="M14" s="4">
        <v>0</v>
      </c>
      <c r="N14" s="5"/>
    </row>
    <row r="15" spans="1:14" ht="15.75" thickBot="1">
      <c r="A15" s="297"/>
      <c r="B15" s="280" t="s">
        <v>46</v>
      </c>
      <c r="C15" s="281"/>
      <c r="D15" s="281"/>
      <c r="E15" s="257">
        <v>120</v>
      </c>
      <c r="F15" s="257">
        <v>120</v>
      </c>
      <c r="G15" s="257"/>
      <c r="H15" s="4">
        <v>3.36</v>
      </c>
      <c r="I15" s="4">
        <v>3</v>
      </c>
      <c r="J15" s="4">
        <f>4.7/100*120</f>
        <v>5.64</v>
      </c>
      <c r="K15" s="268">
        <f>55/100*120</f>
        <v>66</v>
      </c>
      <c r="L15" s="269"/>
      <c r="M15" s="4">
        <f>1/100*120</f>
        <v>1.2</v>
      </c>
      <c r="N15" s="5"/>
    </row>
    <row r="16" spans="1:14" ht="15.75" thickBot="1">
      <c r="A16" s="297"/>
      <c r="B16" s="280" t="s">
        <v>47</v>
      </c>
      <c r="C16" s="281"/>
      <c r="D16" s="281"/>
      <c r="E16" s="257">
        <v>10</v>
      </c>
      <c r="F16" s="257">
        <v>10</v>
      </c>
      <c r="G16" s="257"/>
      <c r="H16" s="4">
        <v>0</v>
      </c>
      <c r="I16" s="4">
        <v>0</v>
      </c>
      <c r="J16" s="4">
        <f>100/100*10</f>
        <v>10</v>
      </c>
      <c r="K16" s="275">
        <f>400/100*10</f>
        <v>40</v>
      </c>
      <c r="L16" s="276"/>
      <c r="M16" s="4">
        <v>0</v>
      </c>
      <c r="N16" s="5"/>
    </row>
    <row r="17" spans="1:18" ht="15.75" thickBot="1">
      <c r="A17" s="296" t="s">
        <v>5</v>
      </c>
      <c r="B17" s="278" t="s">
        <v>200</v>
      </c>
      <c r="C17" s="279"/>
      <c r="D17" s="279"/>
      <c r="E17" s="279"/>
      <c r="F17" s="298"/>
      <c r="G17" s="66">
        <v>60</v>
      </c>
      <c r="H17" s="3"/>
      <c r="I17" s="3"/>
      <c r="J17" s="3"/>
      <c r="K17" s="285"/>
      <c r="L17" s="286"/>
      <c r="M17" s="3"/>
      <c r="N17" s="5"/>
    </row>
    <row r="18" spans="1:18" ht="15.75" thickBot="1">
      <c r="A18" s="297"/>
      <c r="B18" s="277" t="s">
        <v>33</v>
      </c>
      <c r="C18" s="277"/>
      <c r="D18" s="277"/>
      <c r="E18" s="15">
        <v>26</v>
      </c>
      <c r="F18" s="15">
        <v>20</v>
      </c>
      <c r="G18" s="73"/>
      <c r="H18" s="3">
        <f>1.2/100*20</f>
        <v>0.24</v>
      </c>
      <c r="I18" s="3">
        <v>0</v>
      </c>
      <c r="J18" s="3">
        <f>14/100*20</f>
        <v>2.8000000000000003</v>
      </c>
      <c r="K18" s="275">
        <f>62/100*20</f>
        <v>12.4</v>
      </c>
      <c r="L18" s="259"/>
      <c r="M18" s="3">
        <f>7.5/100*20</f>
        <v>1.5</v>
      </c>
      <c r="N18" s="5"/>
    </row>
    <row r="19" spans="1:18" ht="15.75" thickBot="1">
      <c r="A19" s="297"/>
      <c r="B19" s="277" t="s">
        <v>35</v>
      </c>
      <c r="C19" s="277"/>
      <c r="D19" s="277"/>
      <c r="E19" s="15">
        <v>12</v>
      </c>
      <c r="F19" s="15">
        <v>10</v>
      </c>
      <c r="G19" s="73"/>
      <c r="H19" s="3">
        <f>1/100*10</f>
        <v>0.1</v>
      </c>
      <c r="I19" s="3">
        <v>0</v>
      </c>
      <c r="J19" s="3">
        <f>6.1/100*10</f>
        <v>0.61</v>
      </c>
      <c r="K19" s="268">
        <f>29/100*10</f>
        <v>2.9</v>
      </c>
      <c r="L19" s="271"/>
      <c r="M19" s="3">
        <f>4/100*10</f>
        <v>0.4</v>
      </c>
      <c r="N19" s="5"/>
    </row>
    <row r="20" spans="1:18" ht="15.75" thickBot="1">
      <c r="A20" s="297"/>
      <c r="B20" s="277" t="s">
        <v>125</v>
      </c>
      <c r="C20" s="277"/>
      <c r="D20" s="277"/>
      <c r="E20" s="15">
        <v>2</v>
      </c>
      <c r="F20" s="15">
        <v>2</v>
      </c>
      <c r="G20" s="73"/>
      <c r="H20" s="3">
        <f>0.8/100*2</f>
        <v>1.6E-2</v>
      </c>
      <c r="I20" s="3">
        <v>0</v>
      </c>
      <c r="J20" s="3">
        <f>3.3/100*2</f>
        <v>6.6000000000000003E-2</v>
      </c>
      <c r="K20" s="268">
        <f>17/100*2</f>
        <v>0.34</v>
      </c>
      <c r="L20" s="271"/>
      <c r="M20" s="3">
        <f>48/100*2</f>
        <v>0.96</v>
      </c>
      <c r="N20" s="5"/>
    </row>
    <row r="21" spans="1:18" ht="15.75" thickBot="1">
      <c r="A21" s="297"/>
      <c r="B21" s="277" t="s">
        <v>223</v>
      </c>
      <c r="C21" s="277"/>
      <c r="D21" s="277"/>
      <c r="E21" s="15">
        <v>28</v>
      </c>
      <c r="F21" s="15">
        <v>15</v>
      </c>
      <c r="G21" s="73"/>
      <c r="H21" s="3">
        <f>18.2/100*15</f>
        <v>2.73</v>
      </c>
      <c r="I21" s="3">
        <f>18.4/100*15</f>
        <v>2.76</v>
      </c>
      <c r="J21" s="3">
        <f>0.7/100*15</f>
        <v>0.10499999999999998</v>
      </c>
      <c r="K21" s="268">
        <f>241/100*15</f>
        <v>36.150000000000006</v>
      </c>
      <c r="L21" s="271"/>
      <c r="M21" s="3">
        <v>0</v>
      </c>
      <c r="N21" s="5"/>
    </row>
    <row r="22" spans="1:18" ht="15.75" thickBot="1">
      <c r="A22" s="297"/>
      <c r="B22" s="277" t="s">
        <v>219</v>
      </c>
      <c r="C22" s="277"/>
      <c r="D22" s="277"/>
      <c r="E22" s="15">
        <v>12</v>
      </c>
      <c r="F22" s="15">
        <v>12</v>
      </c>
      <c r="G22" s="73"/>
      <c r="H22" s="3">
        <f>2.2/100*12</f>
        <v>0.26400000000000001</v>
      </c>
      <c r="I22" s="3">
        <v>0</v>
      </c>
      <c r="J22" s="3">
        <f>11.2/100*12</f>
        <v>1.3439999999999999</v>
      </c>
      <c r="K22" s="268">
        <f>58/100*12</f>
        <v>6.9599999999999991</v>
      </c>
      <c r="L22" s="271"/>
      <c r="M22" s="3">
        <v>0</v>
      </c>
      <c r="N22" s="5"/>
    </row>
    <row r="23" spans="1:18" ht="15.75" thickBot="1">
      <c r="A23" s="297"/>
      <c r="B23" s="280" t="s">
        <v>198</v>
      </c>
      <c r="C23" s="281"/>
      <c r="D23" s="281"/>
      <c r="E23" s="15">
        <v>10</v>
      </c>
      <c r="F23" s="15">
        <v>10</v>
      </c>
      <c r="G23" s="73"/>
      <c r="H23" s="3">
        <f>12.7/100*10</f>
        <v>1.27</v>
      </c>
      <c r="I23" s="3">
        <f>11.5/100*10</f>
        <v>1.1500000000000001</v>
      </c>
      <c r="J23" s="3">
        <f>0.7/100*10</f>
        <v>6.9999999999999993E-2</v>
      </c>
      <c r="K23" s="268">
        <f>241/100*10</f>
        <v>24.1</v>
      </c>
      <c r="L23" s="271"/>
      <c r="M23" s="3">
        <v>0</v>
      </c>
      <c r="N23" s="5"/>
      <c r="R23" s="25"/>
    </row>
    <row r="24" spans="1:18" ht="15.75" thickBot="1">
      <c r="A24" s="297"/>
      <c r="B24" s="260"/>
      <c r="C24" s="261" t="s">
        <v>226</v>
      </c>
      <c r="D24" s="261"/>
      <c r="E24" s="15">
        <v>17</v>
      </c>
      <c r="F24" s="15">
        <v>17</v>
      </c>
      <c r="G24" s="73"/>
      <c r="H24" s="3">
        <v>0.09</v>
      </c>
      <c r="I24" s="3">
        <f>18.4/100*15</f>
        <v>2.76</v>
      </c>
      <c r="J24" s="3">
        <v>0.17</v>
      </c>
      <c r="K24" s="268">
        <v>1.05</v>
      </c>
      <c r="L24" s="271"/>
      <c r="M24" s="3">
        <v>0</v>
      </c>
      <c r="N24" s="5"/>
    </row>
    <row r="25" spans="1:18" ht="15.75" thickBot="1">
      <c r="A25" s="297"/>
      <c r="B25" s="277" t="s">
        <v>211</v>
      </c>
      <c r="C25" s="277"/>
      <c r="D25" s="277"/>
      <c r="E25" s="15">
        <v>3</v>
      </c>
      <c r="F25" s="15">
        <v>3</v>
      </c>
      <c r="G25" s="73"/>
      <c r="H25" s="1">
        <v>0</v>
      </c>
      <c r="I25" s="1">
        <f>99.9/100*3</f>
        <v>2.9970000000000003</v>
      </c>
      <c r="J25" s="1">
        <v>0</v>
      </c>
      <c r="K25" s="275">
        <f>900/100*3</f>
        <v>27</v>
      </c>
      <c r="L25" s="259"/>
      <c r="M25" s="1">
        <v>0</v>
      </c>
      <c r="N25" s="5"/>
    </row>
    <row r="26" spans="1:18" ht="15.75" thickBot="1">
      <c r="A26" s="297"/>
      <c r="B26" s="12" t="s">
        <v>242</v>
      </c>
      <c r="C26" s="13"/>
      <c r="D26" s="13"/>
      <c r="E26" s="220"/>
      <c r="F26" s="21"/>
      <c r="G26" s="137">
        <v>250</v>
      </c>
      <c r="H26" s="3"/>
      <c r="I26" s="3"/>
      <c r="J26" s="3"/>
      <c r="K26" s="270"/>
      <c r="L26" s="271"/>
      <c r="M26" s="3"/>
      <c r="N26" s="5"/>
    </row>
    <row r="27" spans="1:18" ht="15.75" thickBot="1">
      <c r="A27" s="297"/>
      <c r="B27" s="280" t="s">
        <v>208</v>
      </c>
      <c r="C27" s="281"/>
      <c r="D27" s="282"/>
      <c r="E27" s="15">
        <v>10</v>
      </c>
      <c r="F27" s="15">
        <v>10</v>
      </c>
      <c r="G27" s="142"/>
      <c r="H27" s="3">
        <f>9.3/100*10</f>
        <v>0.93000000000000016</v>
      </c>
      <c r="I27" s="3">
        <f>1.1/100*10</f>
        <v>0.11000000000000001</v>
      </c>
      <c r="J27" s="3">
        <f>68/100*10</f>
        <v>6.8000000000000007</v>
      </c>
      <c r="K27" s="258">
        <f>320/100*10</f>
        <v>32</v>
      </c>
      <c r="L27" s="276"/>
      <c r="M27" s="3">
        <v>0</v>
      </c>
      <c r="N27" s="5"/>
    </row>
    <row r="28" spans="1:18" ht="15.75" thickBot="1">
      <c r="A28" s="297"/>
      <c r="B28" s="277" t="s">
        <v>28</v>
      </c>
      <c r="C28" s="277"/>
      <c r="D28" s="277"/>
      <c r="E28" s="15">
        <v>20</v>
      </c>
      <c r="F28" s="15">
        <v>20</v>
      </c>
      <c r="G28" s="142"/>
      <c r="H28" s="3">
        <f>18.9/100*20</f>
        <v>3.7799999999999994</v>
      </c>
      <c r="I28" s="3">
        <f>12.4/100*20</f>
        <v>2.48</v>
      </c>
      <c r="J28" s="3">
        <v>0</v>
      </c>
      <c r="K28" s="258">
        <f>187/100*20</f>
        <v>37.400000000000006</v>
      </c>
      <c r="L28" s="276"/>
      <c r="M28" s="3">
        <v>0</v>
      </c>
      <c r="N28" s="5"/>
    </row>
    <row r="29" spans="1:18" ht="15.75" thickBot="1">
      <c r="A29" s="297"/>
      <c r="B29" s="277" t="s">
        <v>33</v>
      </c>
      <c r="C29" s="277"/>
      <c r="D29" s="277"/>
      <c r="E29" s="15">
        <v>111.6</v>
      </c>
      <c r="F29" s="15">
        <v>83.3</v>
      </c>
      <c r="G29" s="142"/>
      <c r="H29" s="3">
        <f>1.2/100*83.3</f>
        <v>0.99959999999999993</v>
      </c>
      <c r="I29" s="3">
        <v>0</v>
      </c>
      <c r="J29" s="3">
        <f>14/100*83.3</f>
        <v>11.662000000000001</v>
      </c>
      <c r="K29" s="270">
        <f>62/100*83.3</f>
        <v>51.646000000000001</v>
      </c>
      <c r="L29" s="271"/>
      <c r="M29" s="3">
        <f>7.5/100*83.3</f>
        <v>6.2474999999999996</v>
      </c>
      <c r="N29" s="5"/>
    </row>
    <row r="30" spans="1:18" ht="15.75" thickBot="1">
      <c r="A30" s="297"/>
      <c r="B30" s="277" t="s">
        <v>34</v>
      </c>
      <c r="C30" s="277"/>
      <c r="D30" s="277"/>
      <c r="E30" s="15">
        <v>7</v>
      </c>
      <c r="F30" s="15">
        <v>5</v>
      </c>
      <c r="G30" s="142"/>
      <c r="H30" s="3">
        <f>0.2/100*5</f>
        <v>0.01</v>
      </c>
      <c r="I30" s="3">
        <v>0</v>
      </c>
      <c r="J30" s="3">
        <f>10/100*5</f>
        <v>0.5</v>
      </c>
      <c r="K30" s="270">
        <f>42/100*5</f>
        <v>2.1</v>
      </c>
      <c r="L30" s="271"/>
      <c r="M30" s="3">
        <f>8.5/100*5</f>
        <v>0.42500000000000004</v>
      </c>
      <c r="N30" s="5"/>
    </row>
    <row r="31" spans="1:18" ht="15.75" thickBot="1">
      <c r="A31" s="297"/>
      <c r="B31" s="277" t="s">
        <v>35</v>
      </c>
      <c r="C31" s="277"/>
      <c r="D31" s="277"/>
      <c r="E31" s="15">
        <v>7</v>
      </c>
      <c r="F31" s="15">
        <v>5</v>
      </c>
      <c r="G31" s="142"/>
      <c r="H31" s="3">
        <f>1/100*5</f>
        <v>0.05</v>
      </c>
      <c r="I31" s="3">
        <v>0</v>
      </c>
      <c r="J31" s="3">
        <f>6.1/100*5</f>
        <v>0.30499999999999999</v>
      </c>
      <c r="K31" s="270">
        <f>29/100*5</f>
        <v>1.45</v>
      </c>
      <c r="L31" s="271"/>
      <c r="M31" s="3">
        <f>4/100*5</f>
        <v>0.2</v>
      </c>
      <c r="N31" s="5"/>
    </row>
    <row r="32" spans="1:18" ht="15.75" thickBot="1">
      <c r="A32" s="297"/>
      <c r="B32" s="280" t="s">
        <v>23</v>
      </c>
      <c r="C32" s="281"/>
      <c r="D32" s="281"/>
      <c r="E32" s="15">
        <v>2</v>
      </c>
      <c r="F32" s="15">
        <v>2</v>
      </c>
      <c r="G32" s="142"/>
      <c r="H32" s="3">
        <f>0.4/100*2</f>
        <v>8.0000000000000002E-3</v>
      </c>
      <c r="I32" s="3">
        <f>78.5/100*2</f>
        <v>1.57</v>
      </c>
      <c r="J32" s="3">
        <f>0.5/100*2</f>
        <v>0.01</v>
      </c>
      <c r="K32" s="270">
        <f>734/100*2</f>
        <v>14.68</v>
      </c>
      <c r="L32" s="271"/>
      <c r="M32" s="3">
        <f>0.6/100*2</f>
        <v>1.2E-2</v>
      </c>
      <c r="N32" s="5"/>
    </row>
    <row r="33" spans="1:14" ht="15.75" thickBot="1">
      <c r="A33" s="297"/>
      <c r="B33" s="277" t="s">
        <v>36</v>
      </c>
      <c r="C33" s="277"/>
      <c r="D33" s="277"/>
      <c r="E33" s="15">
        <v>2</v>
      </c>
      <c r="F33" s="15">
        <v>2</v>
      </c>
      <c r="G33" s="142"/>
      <c r="H33" s="3">
        <v>0</v>
      </c>
      <c r="I33" s="3">
        <f>99.9/100*2</f>
        <v>1.9980000000000002</v>
      </c>
      <c r="J33" s="3">
        <v>0</v>
      </c>
      <c r="K33" s="270">
        <f>900/100*2</f>
        <v>18</v>
      </c>
      <c r="L33" s="271"/>
      <c r="M33" s="3">
        <v>0</v>
      </c>
      <c r="N33" s="5"/>
    </row>
    <row r="34" spans="1:14" ht="15.75" thickBot="1">
      <c r="A34" s="297"/>
      <c r="B34" s="277" t="s">
        <v>37</v>
      </c>
      <c r="C34" s="277"/>
      <c r="D34" s="277"/>
      <c r="E34" s="15">
        <v>8</v>
      </c>
      <c r="F34" s="15">
        <v>8</v>
      </c>
      <c r="G34" s="142"/>
      <c r="H34" s="3">
        <f>2.6/100*8</f>
        <v>0.20800000000000002</v>
      </c>
      <c r="I34" s="3">
        <f>15/100*8</f>
        <v>1.2</v>
      </c>
      <c r="J34" s="3">
        <f>3.6/100*8</f>
        <v>0.28800000000000003</v>
      </c>
      <c r="K34" s="258">
        <f>160/100*8</f>
        <v>12.8</v>
      </c>
      <c r="L34" s="276"/>
      <c r="M34" s="3">
        <v>0</v>
      </c>
      <c r="N34" s="5"/>
    </row>
    <row r="35" spans="1:14" ht="15.75" thickBot="1">
      <c r="A35" s="297"/>
      <c r="B35" s="260"/>
      <c r="C35" s="261" t="s">
        <v>243</v>
      </c>
      <c r="D35" s="262"/>
      <c r="E35" s="15">
        <v>15</v>
      </c>
      <c r="F35" s="15">
        <v>15</v>
      </c>
      <c r="G35" s="142"/>
      <c r="H35" s="3">
        <v>0.09</v>
      </c>
      <c r="I35" s="3">
        <f>18.4/100*15</f>
        <v>2.76</v>
      </c>
      <c r="J35" s="3">
        <v>0.17</v>
      </c>
      <c r="K35" s="270">
        <v>1.05</v>
      </c>
      <c r="L35" s="271"/>
      <c r="M35" s="3">
        <v>0</v>
      </c>
      <c r="N35" s="5"/>
    </row>
    <row r="36" spans="1:14" ht="15.75" thickBot="1">
      <c r="A36" s="297"/>
      <c r="B36" s="280" t="s">
        <v>236</v>
      </c>
      <c r="C36" s="283"/>
      <c r="D36" s="284"/>
      <c r="E36" s="15">
        <v>3</v>
      </c>
      <c r="F36" s="15">
        <v>3</v>
      </c>
      <c r="G36" s="142"/>
      <c r="H36" s="3">
        <f>2.2/100*3</f>
        <v>6.6000000000000003E-2</v>
      </c>
      <c r="I36" s="3">
        <v>0</v>
      </c>
      <c r="J36" s="3">
        <f>15.8/100*3</f>
        <v>0.47399999999999998</v>
      </c>
      <c r="K36" s="258">
        <f>63.2/100*3</f>
        <v>1.8959999999999999</v>
      </c>
      <c r="L36" s="259"/>
      <c r="M36" s="3">
        <f>26/100*3</f>
        <v>0.78</v>
      </c>
      <c r="N36" s="5"/>
    </row>
    <row r="37" spans="1:14" ht="15.75" thickBot="1">
      <c r="A37" s="297"/>
      <c r="B37" s="278" t="s">
        <v>167</v>
      </c>
      <c r="C37" s="279"/>
      <c r="D37" s="279"/>
      <c r="E37" s="220"/>
      <c r="F37" s="21"/>
      <c r="G37" s="66">
        <v>120</v>
      </c>
      <c r="H37" s="3"/>
      <c r="I37" s="3"/>
      <c r="J37" s="3"/>
      <c r="K37" s="270"/>
      <c r="L37" s="271"/>
      <c r="M37" s="3"/>
      <c r="N37" s="5"/>
    </row>
    <row r="38" spans="1:14" ht="15.75" thickBot="1">
      <c r="A38" s="297"/>
      <c r="B38" s="277" t="s">
        <v>46</v>
      </c>
      <c r="C38" s="277"/>
      <c r="D38" s="277"/>
      <c r="E38" s="15">
        <v>20</v>
      </c>
      <c r="F38" s="15">
        <v>20</v>
      </c>
      <c r="G38" s="3"/>
      <c r="H38" s="15">
        <f>2.8/100*50</f>
        <v>1.4</v>
      </c>
      <c r="I38" s="15">
        <f>2.5/100*50</f>
        <v>1.25</v>
      </c>
      <c r="J38" s="15">
        <f>4.7/100*50</f>
        <v>2.35</v>
      </c>
      <c r="K38" s="89">
        <f>55/100*50</f>
        <v>27.500000000000004</v>
      </c>
      <c r="L38" s="90"/>
      <c r="M38" s="15">
        <f>1/100*50</f>
        <v>0.5</v>
      </c>
      <c r="N38" s="5"/>
    </row>
    <row r="39" spans="1:14" ht="15.75" thickBot="1">
      <c r="A39" s="297"/>
      <c r="B39" s="280" t="s">
        <v>58</v>
      </c>
      <c r="C39" s="283"/>
      <c r="D39" s="284"/>
      <c r="E39" s="15">
        <v>50</v>
      </c>
      <c r="F39" s="15">
        <v>50</v>
      </c>
      <c r="G39" s="5"/>
      <c r="H39" s="22">
        <f>10.3/100*50</f>
        <v>5.15</v>
      </c>
      <c r="I39" s="22">
        <f>1.1/100*50</f>
        <v>0.55000000000000004</v>
      </c>
      <c r="J39" s="22">
        <f>70.6/100*50</f>
        <v>35.299999999999997</v>
      </c>
      <c r="K39" s="268">
        <f>334/100*50</f>
        <v>167</v>
      </c>
      <c r="L39" s="269"/>
      <c r="M39" s="22">
        <v>0</v>
      </c>
      <c r="N39" s="5"/>
    </row>
    <row r="40" spans="1:14" ht="15.75" thickBot="1">
      <c r="A40" s="297"/>
      <c r="B40" s="280" t="s">
        <v>48</v>
      </c>
      <c r="C40" s="283"/>
      <c r="D40" s="284"/>
      <c r="E40" s="15">
        <v>3</v>
      </c>
      <c r="F40" s="15">
        <v>3</v>
      </c>
      <c r="G40" s="3"/>
      <c r="H40" s="22">
        <f>0.4/100*3</f>
        <v>1.2E-2</v>
      </c>
      <c r="I40" s="22">
        <f>78.5/100*3</f>
        <v>2.355</v>
      </c>
      <c r="J40" s="22">
        <f>0.5/100*3</f>
        <v>1.4999999999999999E-2</v>
      </c>
      <c r="K40" s="275">
        <f>734/100*3</f>
        <v>22.02</v>
      </c>
      <c r="L40" s="276"/>
      <c r="M40" s="22">
        <v>0</v>
      </c>
      <c r="N40" s="5"/>
    </row>
    <row r="41" spans="1:14" ht="15.75" thickBot="1">
      <c r="A41" s="297"/>
      <c r="B41" s="280" t="s">
        <v>60</v>
      </c>
      <c r="C41" s="281"/>
      <c r="D41" s="281"/>
      <c r="E41" s="15">
        <v>6</v>
      </c>
      <c r="F41" s="15">
        <v>6</v>
      </c>
      <c r="G41" s="5"/>
      <c r="H41" s="15">
        <v>0</v>
      </c>
      <c r="I41" s="15">
        <f>99.9/100*6</f>
        <v>5.9940000000000007</v>
      </c>
      <c r="J41" s="15">
        <v>0</v>
      </c>
      <c r="K41" s="275">
        <f>900/100*6</f>
        <v>54</v>
      </c>
      <c r="L41" s="276"/>
      <c r="M41" s="15">
        <v>0</v>
      </c>
      <c r="N41" s="5"/>
    </row>
    <row r="42" spans="1:14" ht="15.75" thickBot="1">
      <c r="A42" s="297"/>
      <c r="B42" s="280" t="s">
        <v>59</v>
      </c>
      <c r="C42" s="283"/>
      <c r="D42" s="284"/>
      <c r="E42" s="15">
        <v>1</v>
      </c>
      <c r="F42" s="15">
        <v>1</v>
      </c>
      <c r="G42" s="5"/>
      <c r="H42" s="22">
        <f>12.5/100*1</f>
        <v>0.125</v>
      </c>
      <c r="I42" s="22">
        <f>0.4/100*1</f>
        <v>4.0000000000000001E-3</v>
      </c>
      <c r="J42" s="22">
        <f>8.3*100*1</f>
        <v>830.00000000000011</v>
      </c>
      <c r="K42" s="268">
        <f>85/100*1</f>
        <v>0.85</v>
      </c>
      <c r="L42" s="269"/>
      <c r="M42" s="3">
        <v>0</v>
      </c>
      <c r="N42" s="5"/>
    </row>
    <row r="43" spans="1:14" ht="15.75" thickBot="1">
      <c r="A43" s="297"/>
      <c r="B43" s="277" t="s">
        <v>50</v>
      </c>
      <c r="C43" s="277"/>
      <c r="D43" s="277"/>
      <c r="E43" s="15">
        <v>5</v>
      </c>
      <c r="F43" s="15">
        <v>5</v>
      </c>
      <c r="G43" s="3"/>
      <c r="H43" s="22">
        <f>12.7/100*5</f>
        <v>0.63500000000000001</v>
      </c>
      <c r="I43" s="22">
        <f>11.5/100*5</f>
        <v>0.57500000000000007</v>
      </c>
      <c r="J43" s="22">
        <f>0.7/100*5</f>
        <v>3.4999999999999996E-2</v>
      </c>
      <c r="K43" s="268">
        <f>241/100*5</f>
        <v>12.05</v>
      </c>
      <c r="L43" s="269"/>
      <c r="M43" s="3">
        <v>0</v>
      </c>
      <c r="N43" s="5"/>
    </row>
    <row r="44" spans="1:14" ht="15.75" thickBot="1">
      <c r="A44" s="297"/>
      <c r="B44" s="256"/>
      <c r="C44" s="219" t="s">
        <v>79</v>
      </c>
      <c r="D44" s="13"/>
      <c r="E44" s="15">
        <v>30</v>
      </c>
      <c r="F44" s="15">
        <v>30</v>
      </c>
      <c r="G44" s="5"/>
      <c r="H44" s="22">
        <f>12/100*30</f>
        <v>3.5999999999999996</v>
      </c>
      <c r="I44" s="22">
        <f>19.1/100*30</f>
        <v>5.73</v>
      </c>
      <c r="J44" s="22">
        <v>0</v>
      </c>
      <c r="K44" s="275">
        <f>220/100*30</f>
        <v>66</v>
      </c>
      <c r="L44" s="276"/>
      <c r="M44" s="3">
        <v>0</v>
      </c>
      <c r="N44" s="5"/>
    </row>
    <row r="45" spans="1:14" ht="15.75" thickBot="1">
      <c r="A45" s="297"/>
      <c r="B45" s="277" t="s">
        <v>54</v>
      </c>
      <c r="C45" s="277"/>
      <c r="D45" s="277"/>
      <c r="E45" s="15">
        <v>12</v>
      </c>
      <c r="F45" s="15">
        <v>10</v>
      </c>
      <c r="G45" s="3"/>
      <c r="H45" s="22">
        <f>0.2/100*10</f>
        <v>0.02</v>
      </c>
      <c r="I45" s="22">
        <v>0</v>
      </c>
      <c r="J45" s="22">
        <f>10/100*10</f>
        <v>1</v>
      </c>
      <c r="K45" s="268">
        <f>42/100*10</f>
        <v>4.2</v>
      </c>
      <c r="L45" s="269"/>
      <c r="M45" s="3">
        <f>8.5/100*10</f>
        <v>0.85000000000000009</v>
      </c>
      <c r="N45" s="5"/>
    </row>
    <row r="46" spans="1:14" ht="15.75" thickBot="1">
      <c r="A46" s="297"/>
      <c r="B46" s="256"/>
      <c r="C46" s="261" t="s">
        <v>55</v>
      </c>
      <c r="D46" s="262"/>
      <c r="E46" s="15">
        <v>16</v>
      </c>
      <c r="F46" s="15">
        <v>10</v>
      </c>
      <c r="G46" s="3"/>
      <c r="H46" s="22">
        <f>1/100*10</f>
        <v>0.1</v>
      </c>
      <c r="I46" s="22">
        <v>0</v>
      </c>
      <c r="J46" s="22">
        <f>6.1/100*10</f>
        <v>0.61</v>
      </c>
      <c r="K46" s="268">
        <f>29/100*10</f>
        <v>2.9</v>
      </c>
      <c r="L46" s="269"/>
      <c r="M46" s="3">
        <f>4/100*10</f>
        <v>0.4</v>
      </c>
      <c r="N46" s="5"/>
    </row>
    <row r="47" spans="1:14" ht="15.75" thickBot="1">
      <c r="A47" s="297"/>
      <c r="B47" s="280" t="s">
        <v>67</v>
      </c>
      <c r="C47" s="283"/>
      <c r="D47" s="284"/>
      <c r="E47" s="15">
        <v>15</v>
      </c>
      <c r="F47" s="15">
        <v>15</v>
      </c>
      <c r="G47" s="5"/>
      <c r="H47" s="22">
        <f>21.5/100*15</f>
        <v>3.2250000000000001</v>
      </c>
      <c r="I47" s="22">
        <f>22.5/100*15</f>
        <v>3.375</v>
      </c>
      <c r="J47" s="22">
        <v>0</v>
      </c>
      <c r="K47" s="275">
        <f>288/100*15</f>
        <v>43.199999999999996</v>
      </c>
      <c r="L47" s="276"/>
      <c r="M47" s="3">
        <v>0</v>
      </c>
      <c r="N47" s="5"/>
    </row>
    <row r="48" spans="1:14" ht="15.75" thickBot="1">
      <c r="A48" s="297"/>
      <c r="B48" s="278" t="s">
        <v>246</v>
      </c>
      <c r="C48" s="279"/>
      <c r="D48" s="279"/>
      <c r="E48" s="206"/>
      <c r="F48" s="205"/>
      <c r="G48" s="66">
        <v>25</v>
      </c>
      <c r="H48" s="4">
        <f>7/100*25</f>
        <v>1.7500000000000002</v>
      </c>
      <c r="I48" s="4">
        <f>1/100*25</f>
        <v>0.25</v>
      </c>
      <c r="J48" s="4">
        <f>46/100*25</f>
        <v>11.5</v>
      </c>
      <c r="K48" s="221">
        <f>200/100*25</f>
        <v>50</v>
      </c>
      <c r="L48" s="204"/>
      <c r="M48" s="4">
        <v>0</v>
      </c>
      <c r="N48" s="5"/>
    </row>
    <row r="49" spans="1:18" ht="15.75" thickBot="1">
      <c r="A49" s="297"/>
      <c r="B49" s="278" t="s">
        <v>40</v>
      </c>
      <c r="C49" s="279"/>
      <c r="D49" s="279"/>
      <c r="E49" s="220"/>
      <c r="F49" s="21"/>
      <c r="G49" s="66">
        <v>180</v>
      </c>
      <c r="H49" s="3"/>
      <c r="I49" s="3"/>
      <c r="J49" s="3"/>
      <c r="K49" s="214"/>
      <c r="L49" s="215"/>
      <c r="M49" s="3"/>
      <c r="N49" s="5"/>
      <c r="Q49" s="41"/>
    </row>
    <row r="50" spans="1:18" ht="15.75" hidden="1" customHeight="1" thickBot="1">
      <c r="A50" s="297"/>
      <c r="B50" s="280" t="s">
        <v>57</v>
      </c>
      <c r="C50" s="281"/>
      <c r="D50" s="282"/>
      <c r="E50" s="211">
        <v>15</v>
      </c>
      <c r="F50" s="211">
        <v>20.5</v>
      </c>
      <c r="G50" s="3"/>
      <c r="H50" s="4">
        <f>0.63/100*15</f>
        <v>9.4500000000000001E-2</v>
      </c>
      <c r="I50" s="4">
        <v>0</v>
      </c>
      <c r="J50" s="4">
        <f>10.06/100*15</f>
        <v>1.5090000000000001</v>
      </c>
      <c r="K50" s="221">
        <f>40.87/100*15</f>
        <v>6.1304999999999996</v>
      </c>
      <c r="L50" s="222"/>
      <c r="M50" s="4">
        <f>0.46/100*15</f>
        <v>6.9000000000000006E-2</v>
      </c>
      <c r="N50" s="5"/>
    </row>
    <row r="51" spans="1:18" ht="15.75" thickBot="1">
      <c r="A51" s="297"/>
      <c r="B51" s="280" t="s">
        <v>24</v>
      </c>
      <c r="C51" s="281"/>
      <c r="D51" s="282"/>
      <c r="E51" s="211">
        <v>10</v>
      </c>
      <c r="F51" s="211">
        <v>10</v>
      </c>
      <c r="G51" s="5"/>
      <c r="H51" s="4">
        <v>0</v>
      </c>
      <c r="I51" s="4">
        <v>0</v>
      </c>
      <c r="J51" s="4">
        <f>100/100*10</f>
        <v>10</v>
      </c>
      <c r="K51" s="221">
        <f>400/100*10</f>
        <v>40</v>
      </c>
      <c r="L51" s="222"/>
      <c r="M51" s="4">
        <v>0</v>
      </c>
      <c r="N51" s="5"/>
    </row>
    <row r="52" spans="1:18" ht="15.75" thickBot="1">
      <c r="A52" s="306"/>
      <c r="B52" s="277" t="s">
        <v>57</v>
      </c>
      <c r="C52" s="277"/>
      <c r="D52" s="277"/>
      <c r="E52" s="211">
        <v>11</v>
      </c>
      <c r="F52" s="211">
        <v>16.5</v>
      </c>
      <c r="G52" s="4"/>
      <c r="H52" s="4">
        <f>0.63/100*16.5</f>
        <v>0.10395</v>
      </c>
      <c r="I52" s="4">
        <v>0</v>
      </c>
      <c r="J52" s="4">
        <f>10.06/100*16.5</f>
        <v>1.6599000000000002</v>
      </c>
      <c r="K52" s="203">
        <f>40.87/100*16.5</f>
        <v>6.743549999999999</v>
      </c>
      <c r="L52" s="204"/>
      <c r="M52" s="4">
        <f>0.46/100*16.5</f>
        <v>7.5899999999999995E-2</v>
      </c>
      <c r="N52" s="5"/>
    </row>
    <row r="53" spans="1:18" ht="15.75" thickBot="1">
      <c r="A53" s="296" t="s">
        <v>6</v>
      </c>
      <c r="B53" s="12" t="s">
        <v>42</v>
      </c>
      <c r="C53" s="13"/>
      <c r="D53" s="13"/>
      <c r="E53" s="220"/>
      <c r="F53" s="21"/>
      <c r="G53" s="66">
        <v>20</v>
      </c>
      <c r="H53" s="3">
        <f>5/100*20</f>
        <v>1</v>
      </c>
      <c r="I53" s="3">
        <f>5/100*20</f>
        <v>1</v>
      </c>
      <c r="J53" s="3">
        <f>71/100*20</f>
        <v>14.2</v>
      </c>
      <c r="K53" s="221">
        <f>360/100*20</f>
        <v>72</v>
      </c>
      <c r="L53" s="222"/>
      <c r="M53" s="4">
        <v>0</v>
      </c>
      <c r="N53" s="5"/>
      <c r="Q53" s="41"/>
    </row>
    <row r="54" spans="1:18" ht="15.75" thickBot="1">
      <c r="A54" s="297"/>
      <c r="B54" s="278" t="s">
        <v>147</v>
      </c>
      <c r="C54" s="279"/>
      <c r="D54" s="279"/>
      <c r="E54" s="220"/>
      <c r="F54" s="21"/>
      <c r="G54" s="137">
        <v>180</v>
      </c>
      <c r="H54" s="3"/>
      <c r="I54" s="3"/>
      <c r="J54" s="3"/>
      <c r="K54" s="311"/>
      <c r="L54" s="312"/>
      <c r="M54" s="3"/>
      <c r="N54" s="5"/>
      <c r="Q54" s="41"/>
    </row>
    <row r="55" spans="1:18" ht="15.75" thickBot="1">
      <c r="A55" s="297"/>
      <c r="B55" s="280" t="s">
        <v>56</v>
      </c>
      <c r="C55" s="281"/>
      <c r="D55" s="282"/>
      <c r="E55" s="257">
        <v>20</v>
      </c>
      <c r="F55" s="257">
        <v>20</v>
      </c>
      <c r="G55" s="4"/>
      <c r="H55" s="4">
        <f>1/100*20</f>
        <v>0.2</v>
      </c>
      <c r="I55" s="4">
        <v>0</v>
      </c>
      <c r="J55" s="4">
        <f>95.5/100*20</f>
        <v>19.099999999999998</v>
      </c>
      <c r="K55" s="258">
        <f>382.4/100*20</f>
        <v>76.47999999999999</v>
      </c>
      <c r="L55" s="276"/>
      <c r="M55" s="4">
        <v>0</v>
      </c>
      <c r="N55" s="5"/>
      <c r="Q55" s="27"/>
      <c r="R55" s="25"/>
    </row>
    <row r="56" spans="1:18" ht="15.75" thickBot="1">
      <c r="A56" s="306"/>
      <c r="B56" s="322" t="s">
        <v>47</v>
      </c>
      <c r="C56" s="283"/>
      <c r="D56" s="284"/>
      <c r="E56" s="257">
        <v>8</v>
      </c>
      <c r="F56" s="257">
        <v>8</v>
      </c>
      <c r="G56" s="68"/>
      <c r="H56" s="4">
        <v>0</v>
      </c>
      <c r="I56" s="4">
        <v>0</v>
      </c>
      <c r="J56" s="4">
        <f>100/100*8</f>
        <v>8</v>
      </c>
      <c r="K56" s="258">
        <f>400/100*8</f>
        <v>32</v>
      </c>
      <c r="L56" s="276"/>
      <c r="M56" s="4">
        <v>0</v>
      </c>
      <c r="N56" s="5"/>
    </row>
    <row r="57" spans="1:18" ht="15.75" thickBot="1">
      <c r="A57" s="207"/>
      <c r="B57" s="278" t="s">
        <v>204</v>
      </c>
      <c r="C57" s="279"/>
      <c r="D57" s="279"/>
      <c r="E57" s="220"/>
      <c r="F57" s="21"/>
      <c r="G57" s="137">
        <v>200</v>
      </c>
      <c r="H57" s="3"/>
      <c r="I57" s="3"/>
      <c r="J57" s="3"/>
      <c r="K57" s="311"/>
      <c r="L57" s="312"/>
      <c r="M57" s="3"/>
      <c r="N57" s="66">
        <v>132</v>
      </c>
    </row>
    <row r="58" spans="1:18" ht="15.75" thickBot="1">
      <c r="A58" s="208"/>
      <c r="B58" s="277" t="s">
        <v>53</v>
      </c>
      <c r="C58" s="277"/>
      <c r="D58" s="277"/>
      <c r="E58" s="15">
        <v>168</v>
      </c>
      <c r="F58" s="15">
        <v>108</v>
      </c>
      <c r="G58" s="73"/>
      <c r="H58" s="3">
        <f>1.2/100*108</f>
        <v>1.296</v>
      </c>
      <c r="I58" s="3">
        <v>0</v>
      </c>
      <c r="J58" s="3">
        <f>4.1/100*108</f>
        <v>4.427999999999999</v>
      </c>
      <c r="K58" s="268">
        <f>22/100*108</f>
        <v>23.76</v>
      </c>
      <c r="L58" s="269"/>
      <c r="M58" s="3">
        <f>24/100*108</f>
        <v>25.919999999999998</v>
      </c>
      <c r="N58" s="5"/>
    </row>
    <row r="59" spans="1:18" ht="15.75" thickBot="1">
      <c r="A59" s="208"/>
      <c r="B59" s="322" t="s">
        <v>28</v>
      </c>
      <c r="C59" s="283"/>
      <c r="D59" s="284"/>
      <c r="E59" s="15">
        <v>40</v>
      </c>
      <c r="F59" s="15">
        <v>40</v>
      </c>
      <c r="G59" s="66"/>
      <c r="H59" s="3">
        <f>18.9/100*40</f>
        <v>7.5599999999999987</v>
      </c>
      <c r="I59" s="3">
        <f>12.4/100*40</f>
        <v>4.96</v>
      </c>
      <c r="J59" s="3">
        <v>0</v>
      </c>
      <c r="K59" s="268">
        <f>187/100*40</f>
        <v>74.800000000000011</v>
      </c>
      <c r="L59" s="269"/>
      <c r="M59" s="3">
        <v>0</v>
      </c>
      <c r="N59" s="5"/>
    </row>
    <row r="60" spans="1:18" ht="15.75" thickBot="1">
      <c r="A60" s="208"/>
      <c r="B60" s="277" t="s">
        <v>54</v>
      </c>
      <c r="C60" s="277"/>
      <c r="D60" s="277"/>
      <c r="E60" s="15">
        <v>12</v>
      </c>
      <c r="F60" s="15">
        <v>10</v>
      </c>
      <c r="G60" s="4"/>
      <c r="H60" s="3">
        <f>0.2/100*10</f>
        <v>0.02</v>
      </c>
      <c r="I60" s="3">
        <v>0</v>
      </c>
      <c r="J60" s="3">
        <f>10/100*10</f>
        <v>1</v>
      </c>
      <c r="K60" s="268">
        <f>42/100*10</f>
        <v>4.2</v>
      </c>
      <c r="L60" s="269"/>
      <c r="M60" s="3">
        <f>8.5/100*10</f>
        <v>0.85000000000000009</v>
      </c>
      <c r="N60" s="5"/>
    </row>
    <row r="61" spans="1:18" ht="15.75" thickBot="1">
      <c r="A61" s="208"/>
      <c r="B61" s="280" t="s">
        <v>55</v>
      </c>
      <c r="C61" s="281"/>
      <c r="D61" s="281"/>
      <c r="E61" s="15">
        <v>16</v>
      </c>
      <c r="F61" s="15">
        <v>10</v>
      </c>
      <c r="G61" s="4"/>
      <c r="H61" s="3">
        <f>1/100*10</f>
        <v>0.1</v>
      </c>
      <c r="I61" s="3">
        <v>0</v>
      </c>
      <c r="J61" s="3">
        <f>6.1/100*10</f>
        <v>0.61</v>
      </c>
      <c r="K61" s="268">
        <f>29/100*10</f>
        <v>2.9</v>
      </c>
      <c r="L61" s="269"/>
      <c r="M61" s="3">
        <f>4/100*10</f>
        <v>0.4</v>
      </c>
      <c r="N61" s="5"/>
    </row>
    <row r="62" spans="1:18" ht="15.75" thickBot="1">
      <c r="A62" s="208"/>
      <c r="B62" s="280" t="s">
        <v>48</v>
      </c>
      <c r="C62" s="283"/>
      <c r="D62" s="284"/>
      <c r="E62" s="15">
        <v>3</v>
      </c>
      <c r="F62" s="15">
        <v>3</v>
      </c>
      <c r="G62" s="68"/>
      <c r="H62" s="3">
        <f>0.4/100*3</f>
        <v>1.2E-2</v>
      </c>
      <c r="I62" s="3">
        <f>78.5/100*3</f>
        <v>2.355</v>
      </c>
      <c r="J62" s="3">
        <f>0.5/100*3</f>
        <v>1.4999999999999999E-2</v>
      </c>
      <c r="K62" s="275">
        <f>734/100*3</f>
        <v>22.02</v>
      </c>
      <c r="L62" s="276"/>
      <c r="M62" s="3">
        <v>0</v>
      </c>
      <c r="N62" s="5"/>
    </row>
    <row r="63" spans="1:18" ht="15.75" thickBot="1">
      <c r="A63" s="294" t="s">
        <v>7</v>
      </c>
      <c r="B63" s="277" t="s">
        <v>60</v>
      </c>
      <c r="C63" s="277"/>
      <c r="D63" s="277"/>
      <c r="E63" s="15">
        <v>3</v>
      </c>
      <c r="F63" s="15">
        <v>3</v>
      </c>
      <c r="G63" s="4"/>
      <c r="H63" s="1">
        <v>0</v>
      </c>
      <c r="I63" s="1">
        <f>99.9/100*3</f>
        <v>2.9970000000000003</v>
      </c>
      <c r="J63" s="1">
        <v>0</v>
      </c>
      <c r="K63" s="275">
        <f>900/100*3</f>
        <v>27</v>
      </c>
      <c r="L63" s="276"/>
      <c r="M63" s="1">
        <v>0</v>
      </c>
      <c r="N63" s="5"/>
    </row>
    <row r="64" spans="1:18" ht="15.75" thickBot="1">
      <c r="A64" s="294"/>
      <c r="B64" s="280" t="s">
        <v>78</v>
      </c>
      <c r="C64" s="283"/>
      <c r="D64" s="284"/>
      <c r="E64" s="15">
        <v>4</v>
      </c>
      <c r="F64" s="15">
        <v>4</v>
      </c>
      <c r="G64" s="68"/>
      <c r="H64" s="3">
        <f>2.2/100*4</f>
        <v>8.8000000000000009E-2</v>
      </c>
      <c r="I64" s="3">
        <v>0</v>
      </c>
      <c r="J64" s="3">
        <f>15.8/100*4</f>
        <v>0.63200000000000001</v>
      </c>
      <c r="K64" s="268">
        <f>63.2/100*4</f>
        <v>2.528</v>
      </c>
      <c r="L64" s="269"/>
      <c r="M64" s="3">
        <f>26/100*4</f>
        <v>1.04</v>
      </c>
      <c r="N64" s="5"/>
    </row>
    <row r="65" spans="1:14" ht="15.75" thickBot="1">
      <c r="A65" s="294"/>
      <c r="B65" s="277" t="s">
        <v>72</v>
      </c>
      <c r="C65" s="277"/>
      <c r="D65" s="277"/>
      <c r="E65" s="15">
        <v>6</v>
      </c>
      <c r="F65" s="15">
        <v>5.6</v>
      </c>
      <c r="G65" s="4"/>
      <c r="H65" s="3">
        <f>2.6/100*5.6</f>
        <v>0.14560000000000001</v>
      </c>
      <c r="I65" s="3">
        <v>0</v>
      </c>
      <c r="J65" s="3">
        <f>6.5/100*5.6</f>
        <v>0.36399999999999999</v>
      </c>
      <c r="K65" s="275">
        <f>37/100*5.6</f>
        <v>2.0720000000000001</v>
      </c>
      <c r="L65" s="276"/>
      <c r="M65" s="3">
        <f>126/100*5.6</f>
        <v>7.0559999999999992</v>
      </c>
      <c r="N65" s="257"/>
    </row>
    <row r="66" spans="1:14" ht="15.75" thickBot="1">
      <c r="A66" s="294"/>
      <c r="B66" s="278" t="s">
        <v>207</v>
      </c>
      <c r="C66" s="279"/>
      <c r="D66" s="279"/>
      <c r="E66" s="206"/>
      <c r="F66" s="205"/>
      <c r="G66" s="210">
        <v>30</v>
      </c>
      <c r="H66" s="233">
        <f>7/100*30</f>
        <v>2.1</v>
      </c>
      <c r="I66" s="233">
        <f>1/100*30</f>
        <v>0.3</v>
      </c>
      <c r="J66" s="233">
        <f>47/100*30</f>
        <v>14.1</v>
      </c>
      <c r="K66" s="221">
        <f>230/100*30</f>
        <v>69</v>
      </c>
      <c r="L66" s="222"/>
      <c r="M66" s="15">
        <v>0</v>
      </c>
      <c r="N66" s="5"/>
    </row>
    <row r="67" spans="1:14" ht="15.75" thickBot="1">
      <c r="A67" s="294"/>
      <c r="B67" s="278" t="s">
        <v>244</v>
      </c>
      <c r="C67" s="279"/>
      <c r="D67" s="279"/>
      <c r="E67" s="220"/>
      <c r="F67" s="21"/>
      <c r="G67" s="210">
        <v>180</v>
      </c>
      <c r="H67" s="233"/>
      <c r="I67" s="233"/>
      <c r="J67" s="233"/>
      <c r="K67" s="221"/>
      <c r="L67" s="222"/>
      <c r="M67" s="15"/>
      <c r="N67" s="5"/>
    </row>
    <row r="68" spans="1:14" ht="15.75" thickBot="1">
      <c r="A68" s="294"/>
      <c r="B68" s="277" t="s">
        <v>210</v>
      </c>
      <c r="C68" s="277"/>
      <c r="D68" s="277"/>
      <c r="E68" s="15">
        <v>0.6</v>
      </c>
      <c r="F68" s="15">
        <v>0.6</v>
      </c>
      <c r="G68" s="211"/>
      <c r="H68" s="202">
        <f>20/100*0.6</f>
        <v>0.12</v>
      </c>
      <c r="I68" s="202">
        <v>0</v>
      </c>
      <c r="J68" s="202">
        <f>6.9/100*0.6</f>
        <v>4.1399999999999999E-2</v>
      </c>
      <c r="K68" s="221">
        <f>109/100*0.6</f>
        <v>0.65400000000000003</v>
      </c>
      <c r="L68" s="222"/>
      <c r="M68" s="22">
        <f>10/100*0.6</f>
        <v>0.06</v>
      </c>
      <c r="N68" s="211"/>
    </row>
    <row r="69" spans="1:14" ht="15.75" thickBot="1">
      <c r="A69" s="294"/>
      <c r="B69" s="217"/>
      <c r="C69" s="206" t="s">
        <v>24</v>
      </c>
      <c r="D69" s="206"/>
      <c r="E69" s="15">
        <v>8</v>
      </c>
      <c r="F69" s="15">
        <v>8</v>
      </c>
      <c r="G69" s="1"/>
      <c r="H69" s="202">
        <v>0</v>
      </c>
      <c r="I69" s="202">
        <v>0</v>
      </c>
      <c r="J69" s="202">
        <f>100/100*8</f>
        <v>8</v>
      </c>
      <c r="K69" s="221">
        <f>400/100*8</f>
        <v>32</v>
      </c>
      <c r="L69" s="222"/>
      <c r="M69" s="22">
        <v>0</v>
      </c>
      <c r="N69" s="5"/>
    </row>
    <row r="70" spans="1:14">
      <c r="A70" s="181"/>
      <c r="H70" s="37">
        <f t="shared" ref="H70:M70" si="0">SUM(H7:H69)</f>
        <v>52.945650000000008</v>
      </c>
      <c r="I70" s="37">
        <f t="shared" si="0"/>
        <v>63.889999999999986</v>
      </c>
      <c r="J70" s="37">
        <f t="shared" si="0"/>
        <v>1059.7853000000002</v>
      </c>
      <c r="K70" s="37">
        <f t="shared" si="0"/>
        <v>1674.9580499999997</v>
      </c>
      <c r="L70" s="37">
        <f t="shared" si="0"/>
        <v>0</v>
      </c>
      <c r="M70" s="37">
        <f t="shared" si="0"/>
        <v>50.4754</v>
      </c>
    </row>
    <row r="73" spans="1:14">
      <c r="H73" s="25"/>
    </row>
  </sheetData>
  <mergeCells count="72">
    <mergeCell ref="B62:D62"/>
    <mergeCell ref="B65:D65"/>
    <mergeCell ref="K54:L54"/>
    <mergeCell ref="B55:D55"/>
    <mergeCell ref="B56:D56"/>
    <mergeCell ref="K57:L57"/>
    <mergeCell ref="B61:D61"/>
    <mergeCell ref="B42:D42"/>
    <mergeCell ref="B43:D43"/>
    <mergeCell ref="B45:D45"/>
    <mergeCell ref="B47:D47"/>
    <mergeCell ref="B54:D54"/>
    <mergeCell ref="B33:D33"/>
    <mergeCell ref="B38:D38"/>
    <mergeCell ref="B39:D39"/>
    <mergeCell ref="B40:D40"/>
    <mergeCell ref="B41:D41"/>
    <mergeCell ref="B64:D64"/>
    <mergeCell ref="M3:M4"/>
    <mergeCell ref="B37:D37"/>
    <mergeCell ref="K17:L17"/>
    <mergeCell ref="B21:D21"/>
    <mergeCell ref="E3:F3"/>
    <mergeCell ref="G3:G4"/>
    <mergeCell ref="H3:J3"/>
    <mergeCell ref="B18:D18"/>
    <mergeCell ref="B19:D19"/>
    <mergeCell ref="B20:D20"/>
    <mergeCell ref="B12:D12"/>
    <mergeCell ref="B13:D13"/>
    <mergeCell ref="B15:D15"/>
    <mergeCell ref="B16:D16"/>
    <mergeCell ref="N3:N4"/>
    <mergeCell ref="K3:L4"/>
    <mergeCell ref="A3:A4"/>
    <mergeCell ref="B3:D4"/>
    <mergeCell ref="B28:D28"/>
    <mergeCell ref="B22:D22"/>
    <mergeCell ref="B23:D23"/>
    <mergeCell ref="B25:D25"/>
    <mergeCell ref="B14:D14"/>
    <mergeCell ref="B17:F17"/>
    <mergeCell ref="A6:A16"/>
    <mergeCell ref="B6:F6"/>
    <mergeCell ref="B7:D7"/>
    <mergeCell ref="B8:D8"/>
    <mergeCell ref="B9:D9"/>
    <mergeCell ref="B10:D10"/>
    <mergeCell ref="B11:D11"/>
    <mergeCell ref="A53:A56"/>
    <mergeCell ref="B34:D34"/>
    <mergeCell ref="B29:D29"/>
    <mergeCell ref="A17:A52"/>
    <mergeCell ref="B48:D48"/>
    <mergeCell ref="B49:D49"/>
    <mergeCell ref="B50:D50"/>
    <mergeCell ref="B32:D32"/>
    <mergeCell ref="B36:D36"/>
    <mergeCell ref="B30:D30"/>
    <mergeCell ref="B31:D31"/>
    <mergeCell ref="B27:D27"/>
    <mergeCell ref="B51:D51"/>
    <mergeCell ref="B52:D52"/>
    <mergeCell ref="A63:A69"/>
    <mergeCell ref="B57:D57"/>
    <mergeCell ref="B58:D58"/>
    <mergeCell ref="B59:D59"/>
    <mergeCell ref="B60:D60"/>
    <mergeCell ref="B66:D66"/>
    <mergeCell ref="B67:D67"/>
    <mergeCell ref="B68:D68"/>
    <mergeCell ref="B63:D63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4"/>
  <sheetViews>
    <sheetView zoomScaleNormal="100" workbookViewId="0">
      <pane ySplit="5" topLeftCell="A6" activePane="bottomLeft" state="frozen"/>
      <selection pane="bottomLeft" activeCell="B55" sqref="B55:F55"/>
    </sheetView>
  </sheetViews>
  <sheetFormatPr defaultRowHeight="15"/>
  <cols>
    <col min="1" max="1" width="13" customWidth="1"/>
    <col min="12" max="12" width="5.42578125" customWidth="1"/>
  </cols>
  <sheetData>
    <row r="1" spans="1:14" ht="18.75">
      <c r="F1" s="51" t="s">
        <v>100</v>
      </c>
    </row>
    <row r="2" spans="1:14" ht="15.75" thickBot="1"/>
    <row r="3" spans="1:14" ht="15.75" thickBot="1">
      <c r="A3" s="293" t="s">
        <v>8</v>
      </c>
      <c r="B3" s="299" t="s">
        <v>9</v>
      </c>
      <c r="C3" s="300"/>
      <c r="D3" s="300"/>
      <c r="E3" s="303" t="s">
        <v>29</v>
      </c>
      <c r="F3" s="304"/>
      <c r="G3" s="289" t="s">
        <v>10</v>
      </c>
      <c r="H3" s="305" t="s">
        <v>11</v>
      </c>
      <c r="I3" s="305"/>
      <c r="J3" s="305"/>
      <c r="K3" s="299" t="s">
        <v>15</v>
      </c>
      <c r="L3" s="317"/>
      <c r="M3" s="289" t="s">
        <v>16</v>
      </c>
      <c r="N3" s="289" t="s">
        <v>17</v>
      </c>
    </row>
    <row r="4" spans="1:14" ht="15.75" thickBot="1">
      <c r="A4" s="295"/>
      <c r="B4" s="301"/>
      <c r="C4" s="302"/>
      <c r="D4" s="302"/>
      <c r="E4" s="184" t="s">
        <v>30</v>
      </c>
      <c r="F4" s="184" t="s">
        <v>31</v>
      </c>
      <c r="G4" s="290"/>
      <c r="H4" s="185" t="s">
        <v>12</v>
      </c>
      <c r="I4" s="185" t="s">
        <v>13</v>
      </c>
      <c r="J4" s="185" t="s">
        <v>14</v>
      </c>
      <c r="K4" s="301"/>
      <c r="L4" s="318"/>
      <c r="M4" s="290"/>
      <c r="N4" s="290"/>
    </row>
    <row r="5" spans="1:14" ht="15.75" thickBot="1">
      <c r="A5" s="2" t="s">
        <v>88</v>
      </c>
      <c r="B5" s="12"/>
      <c r="C5" s="13"/>
      <c r="D5" s="13"/>
      <c r="E5" s="13"/>
      <c r="F5" s="13"/>
      <c r="G5" s="195"/>
      <c r="H5" s="74">
        <f>H64</f>
        <v>56.273849999999996</v>
      </c>
      <c r="I5" s="74">
        <f t="shared" ref="I5:M5" si="0">I64</f>
        <v>54.627099999999999</v>
      </c>
      <c r="J5" s="74">
        <f t="shared" si="0"/>
        <v>209.56180000000009</v>
      </c>
      <c r="K5" s="196">
        <f t="shared" si="0"/>
        <v>1639.6465499999999</v>
      </c>
      <c r="L5" s="197"/>
      <c r="M5" s="74">
        <f t="shared" si="0"/>
        <v>27.818400000000004</v>
      </c>
      <c r="N5" s="195"/>
    </row>
    <row r="6" spans="1:14" ht="15.75" thickBot="1">
      <c r="A6" s="296" t="s">
        <v>4</v>
      </c>
      <c r="B6" s="278" t="s">
        <v>171</v>
      </c>
      <c r="C6" s="279"/>
      <c r="D6" s="279"/>
      <c r="E6" s="279"/>
      <c r="F6" s="298"/>
      <c r="G6" s="266">
        <v>200</v>
      </c>
      <c r="H6" s="257"/>
      <c r="I6" s="257"/>
      <c r="J6" s="257"/>
      <c r="K6" s="7"/>
      <c r="L6" s="8"/>
      <c r="M6" s="257"/>
      <c r="N6" s="257"/>
    </row>
    <row r="7" spans="1:14" ht="15.75" thickBot="1">
      <c r="A7" s="297"/>
      <c r="B7" s="280" t="s">
        <v>65</v>
      </c>
      <c r="C7" s="281"/>
      <c r="D7" s="281"/>
      <c r="E7" s="257">
        <v>15</v>
      </c>
      <c r="F7" s="257">
        <v>15</v>
      </c>
      <c r="G7" s="257"/>
      <c r="H7" s="257">
        <f>11.5/100*15</f>
        <v>1.7250000000000001</v>
      </c>
      <c r="I7" s="257">
        <f>3.3/100*15</f>
        <v>0.495</v>
      </c>
      <c r="J7" s="257">
        <f>65.5/100*15</f>
        <v>9.8250000000000011</v>
      </c>
      <c r="K7" s="89">
        <f>348/100*15</f>
        <v>52.2</v>
      </c>
      <c r="L7" s="8"/>
      <c r="M7" s="257">
        <v>0</v>
      </c>
      <c r="N7" s="257"/>
    </row>
    <row r="8" spans="1:14" ht="15.75" thickBot="1">
      <c r="A8" s="297"/>
      <c r="B8" s="280" t="s">
        <v>64</v>
      </c>
      <c r="C8" s="281"/>
      <c r="D8" s="281"/>
      <c r="E8" s="257">
        <v>15</v>
      </c>
      <c r="F8" s="257">
        <v>15</v>
      </c>
      <c r="G8" s="257"/>
      <c r="H8" s="3">
        <f>7/100*15</f>
        <v>1.05</v>
      </c>
      <c r="I8" s="3">
        <f>1/100*15</f>
        <v>0.15</v>
      </c>
      <c r="J8" s="275">
        <f>74/100*15</f>
        <v>11.1</v>
      </c>
      <c r="K8" s="275">
        <f>330/100*15</f>
        <v>49.5</v>
      </c>
      <c r="L8" s="276"/>
      <c r="M8" s="3">
        <v>0</v>
      </c>
      <c r="N8" s="257"/>
    </row>
    <row r="9" spans="1:14" ht="15.75" thickBot="1">
      <c r="A9" s="297"/>
      <c r="B9" s="280" t="s">
        <v>46</v>
      </c>
      <c r="C9" s="281"/>
      <c r="D9" s="281"/>
      <c r="E9" s="257">
        <v>150</v>
      </c>
      <c r="F9" s="257">
        <v>150</v>
      </c>
      <c r="G9" s="257"/>
      <c r="H9" s="257">
        <f>2.8/100*150</f>
        <v>4.1999999999999993</v>
      </c>
      <c r="I9" s="257">
        <f>2.5/100*150</f>
        <v>3.75</v>
      </c>
      <c r="J9" s="257">
        <f>4.7/100*150</f>
        <v>7.05</v>
      </c>
      <c r="K9" s="89">
        <f>55/100*150</f>
        <v>82.5</v>
      </c>
      <c r="L9" s="8"/>
      <c r="M9" s="257">
        <f>1/100*150</f>
        <v>1.5</v>
      </c>
      <c r="N9" s="257"/>
    </row>
    <row r="10" spans="1:14" ht="15.75" thickBot="1">
      <c r="A10" s="297"/>
      <c r="B10" s="280" t="s">
        <v>47</v>
      </c>
      <c r="C10" s="281"/>
      <c r="D10" s="281"/>
      <c r="E10" s="257">
        <v>5</v>
      </c>
      <c r="F10" s="257">
        <v>5</v>
      </c>
      <c r="G10" s="257"/>
      <c r="H10" s="257">
        <v>0</v>
      </c>
      <c r="I10" s="257">
        <v>0</v>
      </c>
      <c r="J10" s="257">
        <f>100/100*5</f>
        <v>5</v>
      </c>
      <c r="K10" s="89">
        <f>400/100*5</f>
        <v>20</v>
      </c>
      <c r="L10" s="8"/>
      <c r="M10" s="257">
        <v>0</v>
      </c>
      <c r="N10" s="257"/>
    </row>
    <row r="11" spans="1:14" ht="15.75" thickBot="1">
      <c r="A11" s="297"/>
      <c r="B11" s="280" t="s">
        <v>48</v>
      </c>
      <c r="C11" s="281"/>
      <c r="D11" s="281"/>
      <c r="E11" s="257">
        <v>5</v>
      </c>
      <c r="F11" s="257">
        <v>5</v>
      </c>
      <c r="G11" s="257"/>
      <c r="H11" s="257">
        <f>0.4/100*5</f>
        <v>0.02</v>
      </c>
      <c r="I11" s="257">
        <f>78.5/100*5</f>
        <v>3.9250000000000003</v>
      </c>
      <c r="J11" s="257">
        <f>0.5/100*5</f>
        <v>2.5000000000000001E-2</v>
      </c>
      <c r="K11" s="218">
        <f>734/100*5</f>
        <v>36.700000000000003</v>
      </c>
      <c r="L11" s="262"/>
      <c r="M11" s="257">
        <f>0.6/100*5</f>
        <v>0.03</v>
      </c>
      <c r="N11" s="257"/>
    </row>
    <row r="12" spans="1:14" ht="15.75" thickBot="1">
      <c r="A12" s="297"/>
      <c r="B12" s="278" t="s">
        <v>207</v>
      </c>
      <c r="C12" s="279"/>
      <c r="D12" s="279"/>
      <c r="E12" s="261"/>
      <c r="F12" s="262"/>
      <c r="G12" s="266">
        <v>30</v>
      </c>
      <c r="H12" s="257">
        <f>7/100*30</f>
        <v>2.1</v>
      </c>
      <c r="I12" s="257">
        <f>1/100*30</f>
        <v>0.3</v>
      </c>
      <c r="J12" s="257">
        <f>47/100*30</f>
        <v>14.1</v>
      </c>
      <c r="K12" s="275">
        <f>230/100*30</f>
        <v>69</v>
      </c>
      <c r="L12" s="259"/>
      <c r="M12" s="257">
        <v>0</v>
      </c>
      <c r="N12" s="85"/>
    </row>
    <row r="13" spans="1:14" ht="15.75" thickBot="1">
      <c r="A13" s="297"/>
      <c r="B13" s="278" t="s">
        <v>189</v>
      </c>
      <c r="C13" s="279"/>
      <c r="D13" s="279"/>
      <c r="E13" s="261"/>
      <c r="F13" s="262"/>
      <c r="G13" s="266">
        <v>6</v>
      </c>
      <c r="H13" s="4">
        <f>21.5/100*6</f>
        <v>1.29</v>
      </c>
      <c r="I13" s="4">
        <f>22.5/100*6</f>
        <v>1.35</v>
      </c>
      <c r="J13" s="4">
        <v>0</v>
      </c>
      <c r="K13" s="275">
        <f>288/100*6</f>
        <v>17.28</v>
      </c>
      <c r="L13" s="276"/>
      <c r="M13" s="4">
        <v>0</v>
      </c>
      <c r="N13" s="5"/>
    </row>
    <row r="14" spans="1:14" ht="15.75" thickBot="1">
      <c r="A14" s="297"/>
      <c r="B14" s="278" t="s">
        <v>25</v>
      </c>
      <c r="C14" s="279"/>
      <c r="D14" s="279"/>
      <c r="E14" s="261"/>
      <c r="F14" s="262"/>
      <c r="G14" s="266">
        <v>180</v>
      </c>
      <c r="H14" s="257"/>
      <c r="I14" s="257"/>
      <c r="J14" s="257"/>
      <c r="K14" s="7"/>
      <c r="L14" s="8"/>
      <c r="M14" s="257"/>
      <c r="N14" s="266">
        <v>393</v>
      </c>
    </row>
    <row r="15" spans="1:14" ht="15.75" thickBot="1">
      <c r="A15" s="297"/>
      <c r="B15" s="280" t="s">
        <v>26</v>
      </c>
      <c r="C15" s="281"/>
      <c r="D15" s="281"/>
      <c r="E15" s="257">
        <v>0.6</v>
      </c>
      <c r="F15" s="257">
        <v>0.6</v>
      </c>
      <c r="G15" s="266"/>
      <c r="H15" s="3">
        <f>20/100*0.6</f>
        <v>0.12</v>
      </c>
      <c r="I15" s="3">
        <v>0</v>
      </c>
      <c r="J15" s="3">
        <f>6.9/100*0.6</f>
        <v>4.1399999999999999E-2</v>
      </c>
      <c r="K15" s="275">
        <f>109/100*0.6</f>
        <v>0.65400000000000003</v>
      </c>
      <c r="L15" s="276"/>
      <c r="M15" s="3">
        <v>0</v>
      </c>
      <c r="N15" s="5"/>
    </row>
    <row r="16" spans="1:14" ht="15.75" thickBot="1">
      <c r="A16" s="297"/>
      <c r="B16" s="280" t="s">
        <v>27</v>
      </c>
      <c r="C16" s="281"/>
      <c r="D16" s="281"/>
      <c r="E16" s="257">
        <v>3</v>
      </c>
      <c r="F16" s="257">
        <v>3</v>
      </c>
      <c r="G16" s="266"/>
      <c r="H16" s="3">
        <f>0.3/100*3</f>
        <v>9.0000000000000011E-3</v>
      </c>
      <c r="I16" s="3">
        <v>0</v>
      </c>
      <c r="J16" s="3">
        <f>4.6/100*3</f>
        <v>0.13800000000000001</v>
      </c>
      <c r="K16" s="268">
        <f>20/100*3</f>
        <v>0.60000000000000009</v>
      </c>
      <c r="L16" s="271"/>
      <c r="M16" s="3">
        <f>20/100*3</f>
        <v>0.60000000000000009</v>
      </c>
      <c r="N16" s="5"/>
    </row>
    <row r="17" spans="1:17" ht="15.75" thickBot="1">
      <c r="A17" s="306"/>
      <c r="B17" s="280" t="s">
        <v>24</v>
      </c>
      <c r="C17" s="281"/>
      <c r="D17" s="281"/>
      <c r="E17" s="257">
        <v>8</v>
      </c>
      <c r="F17" s="257">
        <v>8</v>
      </c>
      <c r="G17" s="266"/>
      <c r="H17" s="3">
        <v>0</v>
      </c>
      <c r="I17" s="3">
        <v>0</v>
      </c>
      <c r="J17" s="3">
        <v>8</v>
      </c>
      <c r="K17" s="275">
        <v>32</v>
      </c>
      <c r="L17" s="259"/>
      <c r="M17" s="3">
        <v>0</v>
      </c>
      <c r="N17" s="5"/>
    </row>
    <row r="18" spans="1:17" ht="15.75" thickBot="1">
      <c r="A18" s="296" t="s">
        <v>5</v>
      </c>
      <c r="B18" s="278" t="s">
        <v>218</v>
      </c>
      <c r="C18" s="279"/>
      <c r="D18" s="279"/>
      <c r="E18" s="279"/>
      <c r="F18" s="298"/>
      <c r="G18" s="66">
        <v>50</v>
      </c>
      <c r="H18" s="3"/>
      <c r="I18" s="3"/>
      <c r="J18" s="3"/>
      <c r="K18" s="287"/>
      <c r="L18" s="288"/>
      <c r="M18" s="3"/>
      <c r="N18" s="66">
        <v>12</v>
      </c>
    </row>
    <row r="19" spans="1:17" ht="15.75" thickBot="1">
      <c r="A19" s="297"/>
      <c r="B19" s="280" t="s">
        <v>217</v>
      </c>
      <c r="C19" s="281"/>
      <c r="D19" s="282"/>
      <c r="E19" s="15">
        <v>40</v>
      </c>
      <c r="F19" s="15">
        <v>30</v>
      </c>
      <c r="G19" s="72"/>
      <c r="H19" s="3">
        <f>2.2/100*30</f>
        <v>0.66</v>
      </c>
      <c r="I19" s="3">
        <v>0</v>
      </c>
      <c r="J19" s="3">
        <f>11.2/100*30</f>
        <v>3.3599999999999994</v>
      </c>
      <c r="K19" s="258">
        <f>58/100*30</f>
        <v>17.399999999999999</v>
      </c>
      <c r="L19" s="259"/>
      <c r="M19" s="3">
        <v>0</v>
      </c>
      <c r="N19" s="5"/>
    </row>
    <row r="20" spans="1:17" ht="15.75" thickBot="1">
      <c r="A20" s="297"/>
      <c r="B20" s="280" t="s">
        <v>198</v>
      </c>
      <c r="C20" s="281"/>
      <c r="D20" s="282"/>
      <c r="E20" s="15">
        <v>12</v>
      </c>
      <c r="F20" s="15">
        <v>12</v>
      </c>
      <c r="G20" s="72"/>
      <c r="H20" s="3">
        <f>12.7/100*12</f>
        <v>1.524</v>
      </c>
      <c r="I20" s="3">
        <f>11.5/100*12</f>
        <v>1.3800000000000001</v>
      </c>
      <c r="J20" s="3">
        <f>0.7/100*12</f>
        <v>8.3999999999999991E-2</v>
      </c>
      <c r="K20" s="270">
        <f>241/100*12</f>
        <v>28.92</v>
      </c>
      <c r="L20" s="271"/>
      <c r="M20" s="3">
        <v>0</v>
      </c>
      <c r="N20" s="5"/>
    </row>
    <row r="21" spans="1:17" ht="15.75" thickBot="1">
      <c r="A21" s="297"/>
      <c r="B21" s="280" t="s">
        <v>35</v>
      </c>
      <c r="C21" s="283"/>
      <c r="D21" s="284"/>
      <c r="E21" s="15">
        <v>7</v>
      </c>
      <c r="F21" s="15">
        <v>4.5</v>
      </c>
      <c r="G21" s="71"/>
      <c r="H21" s="3">
        <f>1/100*4.5</f>
        <v>4.4999999999999998E-2</v>
      </c>
      <c r="I21" s="3">
        <v>0</v>
      </c>
      <c r="J21" s="3">
        <f>6.1/100*4.5</f>
        <v>0.27449999999999997</v>
      </c>
      <c r="K21" s="270">
        <f>29/100*4.5</f>
        <v>1.3049999999999999</v>
      </c>
      <c r="L21" s="271"/>
      <c r="M21" s="3">
        <f>4/100*4.5</f>
        <v>0.18</v>
      </c>
      <c r="N21" s="5"/>
    </row>
    <row r="22" spans="1:17" ht="15.75" thickBot="1">
      <c r="A22" s="297"/>
      <c r="B22" s="277" t="s">
        <v>209</v>
      </c>
      <c r="C22" s="277"/>
      <c r="D22" s="277"/>
      <c r="E22" s="15">
        <v>5</v>
      </c>
      <c r="F22" s="15">
        <v>4.5</v>
      </c>
      <c r="G22" s="72"/>
      <c r="H22" s="3">
        <f>0.2/100*4.5</f>
        <v>9.0000000000000011E-3</v>
      </c>
      <c r="I22" s="3">
        <v>0</v>
      </c>
      <c r="J22" s="3">
        <f>10/100*4.5</f>
        <v>0.45</v>
      </c>
      <c r="K22" s="270">
        <f>42/100*4.5</f>
        <v>1.89</v>
      </c>
      <c r="L22" s="271"/>
      <c r="M22" s="3">
        <f>8.5/100*4.5</f>
        <v>0.38250000000000001</v>
      </c>
      <c r="N22" s="5"/>
    </row>
    <row r="23" spans="1:17" ht="15.75" thickBot="1">
      <c r="A23" s="297"/>
      <c r="B23" s="277" t="s">
        <v>211</v>
      </c>
      <c r="C23" s="277"/>
      <c r="D23" s="277"/>
      <c r="E23" s="15">
        <v>3</v>
      </c>
      <c r="F23" s="15">
        <v>3</v>
      </c>
      <c r="G23" s="72"/>
      <c r="H23" s="1">
        <v>0</v>
      </c>
      <c r="I23" s="1">
        <f>99.9/100*3</f>
        <v>2.9970000000000003</v>
      </c>
      <c r="J23" s="1">
        <v>0</v>
      </c>
      <c r="K23" s="258">
        <f>900/100*3</f>
        <v>27</v>
      </c>
      <c r="L23" s="259"/>
      <c r="M23" s="1">
        <v>0</v>
      </c>
      <c r="N23" s="68"/>
    </row>
    <row r="24" spans="1:17" ht="15.75" thickBot="1">
      <c r="A24" s="297"/>
      <c r="B24" s="278" t="s">
        <v>237</v>
      </c>
      <c r="C24" s="279"/>
      <c r="D24" s="279"/>
      <c r="E24" s="220"/>
      <c r="F24" s="21"/>
      <c r="G24" s="137">
        <v>250</v>
      </c>
      <c r="H24" s="3"/>
      <c r="I24" s="3"/>
      <c r="J24" s="3"/>
      <c r="K24" s="275"/>
      <c r="L24" s="276"/>
      <c r="M24" s="3"/>
      <c r="N24" s="5"/>
    </row>
    <row r="25" spans="1:17" ht="15.75" thickBot="1">
      <c r="A25" s="297"/>
      <c r="B25" s="277" t="s">
        <v>235</v>
      </c>
      <c r="C25" s="277"/>
      <c r="D25" s="277"/>
      <c r="E25" s="15">
        <v>20</v>
      </c>
      <c r="F25" s="15">
        <v>20</v>
      </c>
      <c r="G25" s="142"/>
      <c r="H25" s="3">
        <f>18.9/100*20</f>
        <v>3.7799999999999994</v>
      </c>
      <c r="I25" s="3">
        <v>2.48</v>
      </c>
      <c r="J25" s="3">
        <v>0</v>
      </c>
      <c r="K25" s="275">
        <v>37.4</v>
      </c>
      <c r="L25" s="259"/>
      <c r="M25" s="3">
        <v>0</v>
      </c>
      <c r="N25" s="5"/>
    </row>
    <row r="26" spans="1:17" ht="15.75" thickBot="1">
      <c r="A26" s="297"/>
      <c r="B26" s="277" t="s">
        <v>33</v>
      </c>
      <c r="C26" s="277"/>
      <c r="D26" s="277"/>
      <c r="E26" s="15">
        <v>150</v>
      </c>
      <c r="F26" s="15">
        <v>130</v>
      </c>
      <c r="G26" s="142"/>
      <c r="H26" s="3">
        <f>1.2/100*130</f>
        <v>1.56</v>
      </c>
      <c r="I26" s="3">
        <v>0</v>
      </c>
      <c r="J26" s="3">
        <f>14/100*130</f>
        <v>18.200000000000003</v>
      </c>
      <c r="K26" s="275">
        <f>62/100*130</f>
        <v>80.599999999999994</v>
      </c>
      <c r="L26" s="276"/>
      <c r="M26" s="3">
        <f>7.5/100*130</f>
        <v>9.75</v>
      </c>
      <c r="N26" s="5"/>
    </row>
    <row r="27" spans="1:17" ht="15.75" thickBot="1">
      <c r="A27" s="297"/>
      <c r="B27" s="277" t="s">
        <v>209</v>
      </c>
      <c r="C27" s="277"/>
      <c r="D27" s="277"/>
      <c r="E27" s="15">
        <v>7</v>
      </c>
      <c r="F27" s="15">
        <v>5</v>
      </c>
      <c r="G27" s="142"/>
      <c r="H27" s="3">
        <f>0.2/100*5</f>
        <v>0.01</v>
      </c>
      <c r="I27" s="3">
        <v>0</v>
      </c>
      <c r="J27" s="3">
        <f>10/100*5</f>
        <v>0.5</v>
      </c>
      <c r="K27" s="268">
        <f>42/100*5</f>
        <v>2.1</v>
      </c>
      <c r="L27" s="271"/>
      <c r="M27" s="3">
        <f>8.5/100*5</f>
        <v>0.42500000000000004</v>
      </c>
      <c r="N27" s="5"/>
    </row>
    <row r="28" spans="1:17" ht="15.75" thickBot="1">
      <c r="A28" s="297"/>
      <c r="B28" s="280" t="s">
        <v>35</v>
      </c>
      <c r="C28" s="281"/>
      <c r="D28" s="281"/>
      <c r="E28" s="15">
        <v>7</v>
      </c>
      <c r="F28" s="15">
        <v>5</v>
      </c>
      <c r="G28" s="142"/>
      <c r="H28" s="3">
        <f>1/100*5</f>
        <v>0.05</v>
      </c>
      <c r="I28" s="3">
        <v>0</v>
      </c>
      <c r="J28" s="3">
        <f>6.1/100*5</f>
        <v>0.30499999999999999</v>
      </c>
      <c r="K28" s="268">
        <f>29/100*5</f>
        <v>1.45</v>
      </c>
      <c r="L28" s="269"/>
      <c r="M28" s="3">
        <f>4/100*5</f>
        <v>0.2</v>
      </c>
      <c r="N28" s="5"/>
    </row>
    <row r="29" spans="1:17" ht="15.75" thickBot="1">
      <c r="A29" s="297"/>
      <c r="B29" s="280" t="s">
        <v>23</v>
      </c>
      <c r="C29" s="283"/>
      <c r="D29" s="284"/>
      <c r="E29" s="15">
        <v>2</v>
      </c>
      <c r="F29" s="15">
        <v>2</v>
      </c>
      <c r="G29" s="142"/>
      <c r="H29" s="3">
        <f>0.4/100*2</f>
        <v>8.0000000000000002E-3</v>
      </c>
      <c r="I29" s="3">
        <f>78.5/100*2</f>
        <v>1.57</v>
      </c>
      <c r="J29" s="3">
        <f>0.5/100*2</f>
        <v>0.01</v>
      </c>
      <c r="K29" s="275">
        <f>734/100*2</f>
        <v>14.68</v>
      </c>
      <c r="L29" s="276"/>
      <c r="M29" s="3">
        <v>0</v>
      </c>
      <c r="N29" s="5"/>
    </row>
    <row r="30" spans="1:17" ht="15.75" thickBot="1">
      <c r="A30" s="297"/>
      <c r="B30" s="277" t="s">
        <v>211</v>
      </c>
      <c r="C30" s="277"/>
      <c r="D30" s="277"/>
      <c r="E30" s="15">
        <v>2</v>
      </c>
      <c r="F30" s="15">
        <v>2</v>
      </c>
      <c r="G30" s="142"/>
      <c r="H30" s="1">
        <v>0</v>
      </c>
      <c r="I30" s="1">
        <f>99.9/100*2</f>
        <v>1.9980000000000002</v>
      </c>
      <c r="J30" s="1">
        <v>0</v>
      </c>
      <c r="K30" s="275">
        <f>900/100*2</f>
        <v>18</v>
      </c>
      <c r="L30" s="276"/>
      <c r="M30" s="1">
        <v>0</v>
      </c>
      <c r="N30" s="5"/>
      <c r="Q30" s="25"/>
    </row>
    <row r="31" spans="1:17" ht="15.75" thickBot="1">
      <c r="A31" s="297"/>
      <c r="B31" s="277" t="s">
        <v>37</v>
      </c>
      <c r="C31" s="277"/>
      <c r="D31" s="277"/>
      <c r="E31" s="15">
        <v>4</v>
      </c>
      <c r="F31" s="15">
        <v>4</v>
      </c>
      <c r="G31" s="142"/>
      <c r="H31" s="3">
        <f>2.6/100*4</f>
        <v>0.10400000000000001</v>
      </c>
      <c r="I31" s="3">
        <f>15/100*4</f>
        <v>0.6</v>
      </c>
      <c r="J31" s="3">
        <f>3.6/100*4</f>
        <v>0.14400000000000002</v>
      </c>
      <c r="K31" s="275">
        <f>160/100*4</f>
        <v>6.4</v>
      </c>
      <c r="L31" s="259"/>
      <c r="M31" s="3">
        <v>0</v>
      </c>
      <c r="N31" s="5"/>
    </row>
    <row r="32" spans="1:17" ht="15.75" thickBot="1">
      <c r="A32" s="297"/>
      <c r="B32" s="277" t="s">
        <v>214</v>
      </c>
      <c r="C32" s="277"/>
      <c r="D32" s="277"/>
      <c r="E32" s="15">
        <v>6</v>
      </c>
      <c r="F32" s="15">
        <v>5.6</v>
      </c>
      <c r="G32" s="142"/>
      <c r="H32" s="3">
        <f>2.6/100*5.6</f>
        <v>0.14560000000000001</v>
      </c>
      <c r="I32" s="3">
        <v>0</v>
      </c>
      <c r="J32" s="3">
        <f>6.5/100*5.6</f>
        <v>0.36399999999999999</v>
      </c>
      <c r="K32" s="275">
        <f>37/100*5.6</f>
        <v>2.0720000000000001</v>
      </c>
      <c r="L32" s="259"/>
      <c r="M32" s="3">
        <f>126/100*5.6</f>
        <v>7.0559999999999992</v>
      </c>
      <c r="N32" s="5"/>
    </row>
    <row r="33" spans="1:14" ht="15.75" thickBot="1">
      <c r="A33" s="297"/>
      <c r="B33" s="278" t="s">
        <v>123</v>
      </c>
      <c r="C33" s="279"/>
      <c r="D33" s="279"/>
      <c r="E33" s="279"/>
      <c r="F33" s="298"/>
      <c r="G33" s="66">
        <v>150</v>
      </c>
      <c r="H33" s="3"/>
      <c r="I33" s="3"/>
      <c r="J33" s="3"/>
      <c r="K33" s="270"/>
      <c r="L33" s="271"/>
      <c r="M33" s="3"/>
      <c r="N33" s="5"/>
    </row>
    <row r="34" spans="1:14" ht="15.75" thickBot="1">
      <c r="A34" s="297"/>
      <c r="B34" s="280" t="s">
        <v>87</v>
      </c>
      <c r="C34" s="283"/>
      <c r="D34" s="284"/>
      <c r="E34" s="15">
        <v>52</v>
      </c>
      <c r="F34" s="15">
        <v>52</v>
      </c>
      <c r="G34" s="257"/>
      <c r="H34" s="3">
        <f>12.6/100*52</f>
        <v>6.5519999999999996</v>
      </c>
      <c r="I34" s="3">
        <f>3.3/100*52</f>
        <v>1.7160000000000002</v>
      </c>
      <c r="J34" s="3">
        <f>60.7/100*52</f>
        <v>31.564</v>
      </c>
      <c r="K34" s="275">
        <f>335/100*52</f>
        <v>174.20000000000002</v>
      </c>
      <c r="L34" s="273"/>
      <c r="M34" s="3">
        <v>0</v>
      </c>
      <c r="N34" s="5"/>
    </row>
    <row r="35" spans="1:14" ht="15.75" thickBot="1">
      <c r="A35" s="297"/>
      <c r="B35" s="280" t="s">
        <v>23</v>
      </c>
      <c r="C35" s="281"/>
      <c r="D35" s="281"/>
      <c r="E35" s="15">
        <v>7</v>
      </c>
      <c r="F35" s="15">
        <v>7</v>
      </c>
      <c r="G35" s="3"/>
      <c r="H35" s="3">
        <f>0.4/100*7</f>
        <v>2.8000000000000001E-2</v>
      </c>
      <c r="I35" s="3">
        <f>78/100*7</f>
        <v>5.46</v>
      </c>
      <c r="J35" s="3">
        <f>0.5/100*7</f>
        <v>3.5000000000000003E-2</v>
      </c>
      <c r="K35" s="275">
        <f>734/100*7</f>
        <v>51.379999999999995</v>
      </c>
      <c r="L35" s="259"/>
      <c r="M35" s="3">
        <f>0.6/100*7</f>
        <v>4.2000000000000003E-2</v>
      </c>
      <c r="N35" s="5"/>
    </row>
    <row r="36" spans="1:14" ht="15.75" thickBot="1">
      <c r="A36" s="297"/>
      <c r="B36" s="277" t="s">
        <v>63</v>
      </c>
      <c r="C36" s="277"/>
      <c r="D36" s="277"/>
      <c r="E36" s="15">
        <v>8</v>
      </c>
      <c r="F36" s="15">
        <v>8</v>
      </c>
      <c r="G36" s="73"/>
      <c r="H36" s="3">
        <f>2.6/100*8</f>
        <v>0.20800000000000002</v>
      </c>
      <c r="I36" s="3">
        <f>15/100*8</f>
        <v>1.2</v>
      </c>
      <c r="J36" s="3">
        <f>3.6/100*8</f>
        <v>0.28800000000000003</v>
      </c>
      <c r="K36" s="221">
        <f>160/100*8</f>
        <v>12.8</v>
      </c>
      <c r="L36" s="204"/>
      <c r="M36" s="3">
        <v>0</v>
      </c>
      <c r="N36" s="5"/>
    </row>
    <row r="37" spans="1:14" ht="15.75" thickBot="1">
      <c r="A37" s="297"/>
      <c r="B37" s="278" t="s">
        <v>122</v>
      </c>
      <c r="C37" s="279"/>
      <c r="D37" s="279"/>
      <c r="E37" s="220"/>
      <c r="F37" s="21"/>
      <c r="G37" s="66">
        <v>70</v>
      </c>
      <c r="H37" s="3"/>
      <c r="I37" s="3"/>
      <c r="J37" s="3"/>
      <c r="K37" s="270"/>
      <c r="L37" s="271"/>
      <c r="M37" s="3"/>
      <c r="N37" s="5"/>
    </row>
    <row r="38" spans="1:14" ht="15.75" thickBot="1">
      <c r="A38" s="297"/>
      <c r="B38" s="280" t="s">
        <v>91</v>
      </c>
      <c r="C38" s="281"/>
      <c r="D38" s="282"/>
      <c r="E38" s="15">
        <v>60</v>
      </c>
      <c r="F38" s="15">
        <v>60</v>
      </c>
      <c r="G38" s="3"/>
      <c r="H38" s="3">
        <f>18.9/100*60</f>
        <v>11.339999999999998</v>
      </c>
      <c r="I38" s="3">
        <f>12.4/100*60</f>
        <v>7.4399999999999995</v>
      </c>
      <c r="J38" s="3">
        <v>0</v>
      </c>
      <c r="K38" s="275">
        <f>187/100*60</f>
        <v>112.2</v>
      </c>
      <c r="L38" s="276"/>
      <c r="M38" s="3">
        <v>0</v>
      </c>
      <c r="N38" s="5"/>
    </row>
    <row r="39" spans="1:14" ht="15.75" thickBot="1">
      <c r="A39" s="297"/>
      <c r="B39" s="280" t="s">
        <v>48</v>
      </c>
      <c r="C39" s="283"/>
      <c r="D39" s="284"/>
      <c r="E39" s="15">
        <v>2</v>
      </c>
      <c r="F39" s="15">
        <v>2</v>
      </c>
      <c r="G39" s="5"/>
      <c r="H39" s="3">
        <f>0.4/100*2</f>
        <v>8.0000000000000002E-3</v>
      </c>
      <c r="I39" s="3">
        <f>78.5/100*2</f>
        <v>1.57</v>
      </c>
      <c r="J39" s="3">
        <f>0.5/100*2</f>
        <v>0.01</v>
      </c>
      <c r="K39" s="275">
        <f>734/100*2</f>
        <v>14.68</v>
      </c>
      <c r="L39" s="276"/>
      <c r="M39" s="3">
        <v>0</v>
      </c>
      <c r="N39" s="5"/>
    </row>
    <row r="40" spans="1:14" ht="15.75" thickBot="1">
      <c r="A40" s="297"/>
      <c r="B40" s="277" t="s">
        <v>60</v>
      </c>
      <c r="C40" s="277"/>
      <c r="D40" s="277"/>
      <c r="E40" s="15">
        <v>2</v>
      </c>
      <c r="F40" s="15">
        <v>2</v>
      </c>
      <c r="G40" s="3"/>
      <c r="H40" s="1">
        <v>0</v>
      </c>
      <c r="I40" s="1">
        <f>99.9/100*2</f>
        <v>1.9980000000000002</v>
      </c>
      <c r="J40" s="1">
        <v>0</v>
      </c>
      <c r="K40" s="275">
        <f>900/100*2</f>
        <v>18</v>
      </c>
      <c r="L40" s="276"/>
      <c r="M40" s="1">
        <v>0</v>
      </c>
      <c r="N40" s="5"/>
    </row>
    <row r="41" spans="1:14" ht="15.75" thickBot="1">
      <c r="A41" s="297"/>
      <c r="B41" s="277" t="s">
        <v>54</v>
      </c>
      <c r="C41" s="277"/>
      <c r="D41" s="277"/>
      <c r="E41" s="15">
        <v>7</v>
      </c>
      <c r="F41" s="15">
        <v>5</v>
      </c>
      <c r="G41" s="3"/>
      <c r="H41" s="3">
        <f>0.2/100*5</f>
        <v>0.01</v>
      </c>
      <c r="I41" s="3">
        <v>0</v>
      </c>
      <c r="J41" s="3">
        <f>10/100*5</f>
        <v>0.5</v>
      </c>
      <c r="K41" s="268">
        <f>42/100*5</f>
        <v>2.1</v>
      </c>
      <c r="L41" s="271"/>
      <c r="M41" s="3">
        <f>8.5/100*5</f>
        <v>0.42500000000000004</v>
      </c>
      <c r="N41" s="5"/>
    </row>
    <row r="42" spans="1:14" ht="15.75" thickBot="1">
      <c r="A42" s="297"/>
      <c r="B42" s="280" t="s">
        <v>55</v>
      </c>
      <c r="C42" s="281"/>
      <c r="D42" s="281"/>
      <c r="E42" s="15">
        <v>7</v>
      </c>
      <c r="F42" s="15">
        <v>5</v>
      </c>
      <c r="G42" s="3"/>
      <c r="H42" s="3">
        <f>1/100*5</f>
        <v>0.05</v>
      </c>
      <c r="I42" s="3">
        <v>0</v>
      </c>
      <c r="J42" s="3">
        <f>6.1/100*5</f>
        <v>0.30499999999999999</v>
      </c>
      <c r="K42" s="268">
        <f>29/100*5</f>
        <v>1.45</v>
      </c>
      <c r="L42" s="271"/>
      <c r="M42" s="3">
        <f>4/100*5</f>
        <v>0.2</v>
      </c>
      <c r="N42" s="5"/>
    </row>
    <row r="43" spans="1:14" ht="15.75" thickBot="1">
      <c r="A43" s="297"/>
      <c r="B43" s="260"/>
      <c r="C43" s="261" t="s">
        <v>51</v>
      </c>
      <c r="D43" s="265"/>
      <c r="E43" s="15">
        <v>2.1</v>
      </c>
      <c r="F43" s="15">
        <v>2.1</v>
      </c>
      <c r="G43" s="5"/>
      <c r="H43" s="3">
        <f>10.3/100*2.1</f>
        <v>0.21630000000000002</v>
      </c>
      <c r="I43" s="3">
        <f>1.1/100*2.1</f>
        <v>2.3100000000000002E-2</v>
      </c>
      <c r="J43" s="3">
        <f>70.6/100*2.1</f>
        <v>1.4825999999999999</v>
      </c>
      <c r="K43" s="268">
        <f>334/100*2.1</f>
        <v>7.0140000000000002</v>
      </c>
      <c r="L43" s="20"/>
      <c r="M43" s="3">
        <v>0</v>
      </c>
      <c r="N43" s="5"/>
    </row>
    <row r="44" spans="1:14" ht="15.75" thickBot="1">
      <c r="A44" s="297"/>
      <c r="B44" s="280" t="s">
        <v>78</v>
      </c>
      <c r="C44" s="283"/>
      <c r="D44" s="284"/>
      <c r="E44" s="15">
        <v>7</v>
      </c>
      <c r="F44" s="15">
        <v>7</v>
      </c>
      <c r="G44" s="5"/>
      <c r="H44" s="3">
        <f>2.2/100*7</f>
        <v>0.15400000000000003</v>
      </c>
      <c r="I44" s="3">
        <v>0</v>
      </c>
      <c r="J44" s="3">
        <f>15.8/100*7</f>
        <v>1.1060000000000001</v>
      </c>
      <c r="K44" s="268">
        <f>63.2/100*7</f>
        <v>4.4240000000000004</v>
      </c>
      <c r="L44" s="271"/>
      <c r="M44" s="3">
        <f>26/100*7</f>
        <v>1.82</v>
      </c>
      <c r="N44" s="5"/>
    </row>
    <row r="45" spans="1:14" ht="15.75" thickBot="1">
      <c r="A45" s="297"/>
      <c r="B45" s="277" t="s">
        <v>72</v>
      </c>
      <c r="C45" s="277"/>
      <c r="D45" s="277"/>
      <c r="E45" s="15">
        <v>3</v>
      </c>
      <c r="F45" s="15">
        <v>2.8</v>
      </c>
      <c r="G45" s="3"/>
      <c r="H45" s="1">
        <f>0.15/2</f>
        <v>7.4999999999999997E-2</v>
      </c>
      <c r="I45" s="1"/>
      <c r="J45" s="1">
        <f>0.36/2</f>
        <v>0.18</v>
      </c>
      <c r="K45" s="275"/>
      <c r="L45" s="276"/>
      <c r="M45" s="1">
        <f>7.06/2</f>
        <v>3.53</v>
      </c>
      <c r="N45" s="5"/>
    </row>
    <row r="46" spans="1:14" ht="15.75" thickBot="1">
      <c r="A46" s="297"/>
      <c r="B46" s="280" t="s">
        <v>37</v>
      </c>
      <c r="C46" s="281"/>
      <c r="D46" s="282"/>
      <c r="E46" s="15">
        <v>6</v>
      </c>
      <c r="F46" s="15">
        <v>6</v>
      </c>
      <c r="G46" s="73"/>
      <c r="H46" s="3">
        <f>2.6/100*4</f>
        <v>0.10400000000000001</v>
      </c>
      <c r="I46" s="3">
        <f>15/100*4</f>
        <v>0.6</v>
      </c>
      <c r="J46" s="3">
        <f>3.6/100*4</f>
        <v>0.14400000000000002</v>
      </c>
      <c r="K46" s="275">
        <f>160/100*4</f>
        <v>6.4</v>
      </c>
      <c r="L46" s="276"/>
      <c r="M46" s="3">
        <v>0</v>
      </c>
      <c r="N46" s="5"/>
    </row>
    <row r="47" spans="1:14" ht="15.75" thickBot="1">
      <c r="A47" s="297"/>
      <c r="B47" s="278" t="s">
        <v>129</v>
      </c>
      <c r="C47" s="279"/>
      <c r="D47" s="279"/>
      <c r="E47" s="220"/>
      <c r="F47" s="21"/>
      <c r="G47" s="66">
        <v>50</v>
      </c>
      <c r="H47" s="3">
        <f>7/100*50</f>
        <v>3.5000000000000004</v>
      </c>
      <c r="I47" s="3">
        <f>1/100*50</f>
        <v>0.5</v>
      </c>
      <c r="J47" s="3">
        <f>46/100*50</f>
        <v>23</v>
      </c>
      <c r="K47" s="287">
        <f>200/100*50</f>
        <v>100</v>
      </c>
      <c r="L47" s="288"/>
      <c r="M47" s="3">
        <v>0</v>
      </c>
      <c r="N47" s="5"/>
    </row>
    <row r="48" spans="1:14" ht="15.75" thickBot="1">
      <c r="A48" s="297"/>
      <c r="B48" s="278" t="s">
        <v>40</v>
      </c>
      <c r="C48" s="279"/>
      <c r="D48" s="279"/>
      <c r="E48" s="220"/>
      <c r="F48" s="21"/>
      <c r="G48" s="66">
        <v>180</v>
      </c>
      <c r="H48" s="3"/>
      <c r="I48" s="3"/>
      <c r="J48" s="3"/>
      <c r="K48" s="270"/>
      <c r="L48" s="271"/>
      <c r="M48" s="3"/>
      <c r="N48" s="5"/>
    </row>
    <row r="49" spans="1:17" ht="15.75" thickBot="1">
      <c r="A49" s="297"/>
      <c r="B49" s="280" t="s">
        <v>57</v>
      </c>
      <c r="C49" s="281"/>
      <c r="D49" s="282"/>
      <c r="E49" s="257">
        <v>11</v>
      </c>
      <c r="F49" s="257">
        <v>16.5</v>
      </c>
      <c r="G49" s="3"/>
      <c r="H49" s="4">
        <f>0.63/100*16.5</f>
        <v>0.10395</v>
      </c>
      <c r="I49" s="4">
        <v>0</v>
      </c>
      <c r="J49" s="4">
        <f>10.06/100*16.5</f>
        <v>1.6599000000000002</v>
      </c>
      <c r="K49" s="275">
        <f>40.87/100*16.5</f>
        <v>6.743549999999999</v>
      </c>
      <c r="L49" s="276"/>
      <c r="M49" s="4">
        <f>0.46/100*16.5</f>
        <v>7.5899999999999995E-2</v>
      </c>
      <c r="N49" s="5"/>
    </row>
    <row r="50" spans="1:17" ht="15.75" thickBot="1">
      <c r="A50" s="297"/>
      <c r="B50" s="280" t="s">
        <v>47</v>
      </c>
      <c r="C50" s="281"/>
      <c r="D50" s="282"/>
      <c r="E50" s="257">
        <v>10</v>
      </c>
      <c r="F50" s="257">
        <v>10</v>
      </c>
      <c r="G50" s="5"/>
      <c r="H50" s="4">
        <v>0</v>
      </c>
      <c r="I50" s="4">
        <v>0</v>
      </c>
      <c r="J50" s="4">
        <f>100/100*10</f>
        <v>10</v>
      </c>
      <c r="K50" s="275">
        <f>400/100*10</f>
        <v>40</v>
      </c>
      <c r="L50" s="276"/>
      <c r="M50" s="4">
        <v>0</v>
      </c>
      <c r="N50" s="5"/>
    </row>
    <row r="51" spans="1:17" ht="15.75" thickBot="1">
      <c r="A51" s="296" t="s">
        <v>6</v>
      </c>
      <c r="B51" s="209" t="s">
        <v>187</v>
      </c>
      <c r="C51" s="206"/>
      <c r="D51" s="206"/>
      <c r="E51" s="220"/>
      <c r="F51" s="21"/>
      <c r="G51" s="137">
        <v>22.5</v>
      </c>
      <c r="H51" s="22">
        <f>10/100*22.5</f>
        <v>2.25</v>
      </c>
      <c r="I51" s="22">
        <f>5/100*22.5</f>
        <v>1.125</v>
      </c>
      <c r="J51" s="22">
        <f>70/100*2.5</f>
        <v>1.75</v>
      </c>
      <c r="K51" s="221">
        <f>370/100*22.5</f>
        <v>83.25</v>
      </c>
      <c r="L51" s="216"/>
      <c r="M51" s="22">
        <v>0</v>
      </c>
      <c r="N51" s="5"/>
    </row>
    <row r="52" spans="1:17" ht="15.75" thickBot="1">
      <c r="A52" s="297"/>
      <c r="B52" s="256" t="s">
        <v>182</v>
      </c>
      <c r="C52" s="264"/>
      <c r="D52" s="264"/>
      <c r="E52" s="261"/>
      <c r="F52" s="262"/>
      <c r="G52" s="66">
        <v>150</v>
      </c>
      <c r="H52" s="4"/>
      <c r="I52" s="4"/>
      <c r="J52" s="4"/>
      <c r="K52" s="275"/>
      <c r="L52" s="273"/>
      <c r="M52" s="4"/>
      <c r="N52" s="5"/>
      <c r="Q52" s="27"/>
    </row>
    <row r="53" spans="1:17" ht="15.75" thickBot="1">
      <c r="A53" s="297"/>
      <c r="B53" s="227"/>
      <c r="C53" s="228" t="s">
        <v>182</v>
      </c>
      <c r="D53" s="265"/>
      <c r="E53" s="257">
        <v>150</v>
      </c>
      <c r="F53" s="257">
        <v>150</v>
      </c>
      <c r="G53" s="66"/>
      <c r="H53" s="4">
        <f>3/100*150</f>
        <v>4.5</v>
      </c>
      <c r="I53" s="4">
        <f>2.5/100*150</f>
        <v>3.75</v>
      </c>
      <c r="J53" s="4">
        <f>4.4/100*150</f>
        <v>6.6000000000000005</v>
      </c>
      <c r="K53" s="275">
        <f>51/100*150</f>
        <v>76.5</v>
      </c>
      <c r="L53" s="273"/>
      <c r="M53" s="4">
        <v>0</v>
      </c>
      <c r="N53" s="5"/>
      <c r="Q53" s="27"/>
    </row>
    <row r="54" spans="1:17" ht="15.75" thickBot="1">
      <c r="A54" s="306"/>
      <c r="B54" s="260"/>
      <c r="C54" s="261" t="s">
        <v>24</v>
      </c>
      <c r="D54" s="265"/>
      <c r="E54" s="257">
        <v>5</v>
      </c>
      <c r="F54" s="257">
        <v>5</v>
      </c>
      <c r="G54" s="5"/>
      <c r="H54" s="257">
        <f>0.4/100*5</f>
        <v>0.02</v>
      </c>
      <c r="I54" s="257">
        <f>78.5/100*5</f>
        <v>3.9250000000000003</v>
      </c>
      <c r="J54" s="257">
        <f>0.5/100*5</f>
        <v>2.5000000000000001E-2</v>
      </c>
      <c r="K54" s="218">
        <f>734/100*5</f>
        <v>36.700000000000003</v>
      </c>
      <c r="L54" s="262"/>
      <c r="M54" s="257">
        <f>0.6/100*5</f>
        <v>0.03</v>
      </c>
      <c r="N54" s="5"/>
    </row>
    <row r="55" spans="1:17" ht="15.75" thickBot="1">
      <c r="A55" s="293" t="s">
        <v>7</v>
      </c>
      <c r="B55" s="278" t="s">
        <v>113</v>
      </c>
      <c r="C55" s="279"/>
      <c r="D55" s="279"/>
      <c r="E55" s="279"/>
      <c r="F55" s="298"/>
      <c r="G55" s="266">
        <v>200</v>
      </c>
      <c r="H55" s="257"/>
      <c r="I55" s="257"/>
      <c r="J55" s="257"/>
      <c r="K55" s="7"/>
      <c r="L55" s="8"/>
      <c r="M55" s="257"/>
      <c r="N55" s="257"/>
      <c r="P55" s="47"/>
    </row>
    <row r="56" spans="1:17" ht="15.75" thickBot="1">
      <c r="A56" s="294"/>
      <c r="B56" s="280" t="s">
        <v>103</v>
      </c>
      <c r="C56" s="283"/>
      <c r="D56" s="284"/>
      <c r="E56" s="257">
        <v>25</v>
      </c>
      <c r="F56" s="257">
        <v>25</v>
      </c>
      <c r="G56" s="257"/>
      <c r="H56" s="4">
        <f>9.3/100*25</f>
        <v>2.3250000000000002</v>
      </c>
      <c r="I56" s="4">
        <f>1.1/100*25</f>
        <v>0.27500000000000002</v>
      </c>
      <c r="J56" s="258">
        <f>63/100*25</f>
        <v>15.75</v>
      </c>
      <c r="K56" s="275">
        <f>320/100*25</f>
        <v>80</v>
      </c>
      <c r="L56" s="259"/>
      <c r="M56" s="4">
        <v>0</v>
      </c>
      <c r="N56" s="5"/>
      <c r="P56" s="47"/>
      <c r="Q56" s="48"/>
    </row>
    <row r="57" spans="1:17" ht="15.75" thickBot="1">
      <c r="A57" s="294"/>
      <c r="B57" s="280" t="s">
        <v>46</v>
      </c>
      <c r="C57" s="281"/>
      <c r="D57" s="281"/>
      <c r="E57" s="257">
        <v>150</v>
      </c>
      <c r="F57" s="257">
        <v>150</v>
      </c>
      <c r="G57" s="257"/>
      <c r="H57" s="257">
        <f>2.8/100*150</f>
        <v>4.1999999999999993</v>
      </c>
      <c r="I57" s="257">
        <f>2.5/100*150</f>
        <v>3.75</v>
      </c>
      <c r="J57" s="257">
        <f>4.7/100*150</f>
        <v>7.05</v>
      </c>
      <c r="K57" s="89">
        <f>55/100*150</f>
        <v>82.5</v>
      </c>
      <c r="L57" s="8"/>
      <c r="M57" s="257">
        <f>1/100*150</f>
        <v>1.5</v>
      </c>
      <c r="N57" s="257"/>
      <c r="P57" s="47"/>
      <c r="Q57" s="48"/>
    </row>
    <row r="58" spans="1:17" ht="15.75" thickBot="1">
      <c r="A58" s="294"/>
      <c r="B58" s="280" t="s">
        <v>48</v>
      </c>
      <c r="C58" s="281"/>
      <c r="D58" s="281"/>
      <c r="E58" s="257">
        <v>5</v>
      </c>
      <c r="F58" s="257">
        <v>5</v>
      </c>
      <c r="G58" s="257"/>
      <c r="H58" s="257">
        <v>0</v>
      </c>
      <c r="I58" s="257">
        <v>0</v>
      </c>
      <c r="J58" s="257">
        <f>100/100*5</f>
        <v>5</v>
      </c>
      <c r="K58" s="89">
        <f>400/100*5</f>
        <v>20</v>
      </c>
      <c r="L58" s="8"/>
      <c r="M58" s="257">
        <v>0</v>
      </c>
      <c r="N58" s="257"/>
      <c r="Q58" s="25"/>
    </row>
    <row r="59" spans="1:17" ht="15.75" thickBot="1">
      <c r="A59" s="294"/>
      <c r="B59" s="280" t="s">
        <v>47</v>
      </c>
      <c r="C59" s="281"/>
      <c r="D59" s="281"/>
      <c r="E59" s="257">
        <v>5</v>
      </c>
      <c r="F59" s="257">
        <v>5</v>
      </c>
      <c r="G59" s="257"/>
      <c r="H59" s="257">
        <v>0</v>
      </c>
      <c r="I59" s="257">
        <v>0</v>
      </c>
      <c r="J59" s="257">
        <f>100/100*2</f>
        <v>2</v>
      </c>
      <c r="K59" s="218">
        <f>400/100*2</f>
        <v>8</v>
      </c>
      <c r="L59" s="262"/>
      <c r="M59" s="257">
        <f>0.6/100*2</f>
        <v>1.2E-2</v>
      </c>
      <c r="N59" s="257"/>
    </row>
    <row r="60" spans="1:17" ht="15.75" thickBot="1">
      <c r="A60" s="294"/>
      <c r="B60" s="278" t="s">
        <v>207</v>
      </c>
      <c r="C60" s="279"/>
      <c r="D60" s="279"/>
      <c r="E60" s="206"/>
      <c r="F60" s="205"/>
      <c r="G60" s="210">
        <v>30</v>
      </c>
      <c r="H60" s="15">
        <f>7/100*30</f>
        <v>2.1</v>
      </c>
      <c r="I60" s="15">
        <f>1/100*30</f>
        <v>0.3</v>
      </c>
      <c r="J60" s="15">
        <f>47/100*30</f>
        <v>14.1</v>
      </c>
      <c r="K60" s="221">
        <f>230/100*30</f>
        <v>69</v>
      </c>
      <c r="L60" s="204"/>
      <c r="M60" s="15">
        <v>0</v>
      </c>
      <c r="N60" s="85"/>
    </row>
    <row r="61" spans="1:17" ht="15.75" thickBot="1">
      <c r="A61" s="294"/>
      <c r="B61" s="278" t="s">
        <v>244</v>
      </c>
      <c r="C61" s="279"/>
      <c r="D61" s="279"/>
      <c r="E61" s="220"/>
      <c r="F61" s="21"/>
      <c r="G61" s="210">
        <v>180</v>
      </c>
      <c r="H61" s="233"/>
      <c r="I61" s="233"/>
      <c r="J61" s="233"/>
      <c r="K61" s="221"/>
      <c r="L61" s="222"/>
      <c r="M61" s="15"/>
      <c r="N61" s="5"/>
    </row>
    <row r="62" spans="1:17" ht="15.75" thickBot="1">
      <c r="A62" s="294"/>
      <c r="B62" s="277" t="s">
        <v>210</v>
      </c>
      <c r="C62" s="277"/>
      <c r="D62" s="277"/>
      <c r="E62" s="15">
        <v>0.6</v>
      </c>
      <c r="F62" s="15">
        <v>0.6</v>
      </c>
      <c r="G62" s="211"/>
      <c r="H62" s="202">
        <f>20/100*0.6</f>
        <v>0.12</v>
      </c>
      <c r="I62" s="202">
        <v>0</v>
      </c>
      <c r="J62" s="202">
        <f>6.9/100*0.6</f>
        <v>4.1399999999999999E-2</v>
      </c>
      <c r="K62" s="221">
        <f>109/100*0.6</f>
        <v>0.65400000000000003</v>
      </c>
      <c r="L62" s="222"/>
      <c r="M62" s="22">
        <f>10/100*0.6</f>
        <v>0.06</v>
      </c>
      <c r="N62" s="211"/>
    </row>
    <row r="63" spans="1:17" ht="15.75" thickBot="1">
      <c r="A63" s="295"/>
      <c r="B63" s="217"/>
      <c r="C63" s="206" t="s">
        <v>24</v>
      </c>
      <c r="D63" s="206"/>
      <c r="E63" s="15">
        <v>8</v>
      </c>
      <c r="F63" s="15">
        <v>8</v>
      </c>
      <c r="G63" s="1"/>
      <c r="H63" s="202">
        <v>0</v>
      </c>
      <c r="I63" s="202">
        <v>0</v>
      </c>
      <c r="J63" s="202">
        <f>100/100*8</f>
        <v>8</v>
      </c>
      <c r="K63" s="221">
        <f>400/100*8</f>
        <v>32</v>
      </c>
      <c r="L63" s="222"/>
      <c r="M63" s="22">
        <v>0</v>
      </c>
      <c r="N63" s="5"/>
    </row>
    <row r="64" spans="1:17">
      <c r="H64" s="37">
        <f t="shared" ref="H64:M64" si="1">SUM(H7:H63)</f>
        <v>56.273849999999996</v>
      </c>
      <c r="I64" s="37">
        <f t="shared" si="1"/>
        <v>54.627099999999999</v>
      </c>
      <c r="J64" s="37">
        <f t="shared" si="1"/>
        <v>209.56180000000009</v>
      </c>
      <c r="K64" s="37">
        <f t="shared" si="1"/>
        <v>1639.6465499999999</v>
      </c>
      <c r="L64" s="37">
        <f t="shared" si="1"/>
        <v>0</v>
      </c>
      <c r="M64" s="37">
        <f t="shared" si="1"/>
        <v>27.818400000000004</v>
      </c>
    </row>
  </sheetData>
  <mergeCells count="66">
    <mergeCell ref="K47:L47"/>
    <mergeCell ref="B48:D48"/>
    <mergeCell ref="B55:F55"/>
    <mergeCell ref="B57:D57"/>
    <mergeCell ref="B15:D15"/>
    <mergeCell ref="B18:F18"/>
    <mergeCell ref="K18:L18"/>
    <mergeCell ref="B27:D27"/>
    <mergeCell ref="B33:F33"/>
    <mergeCell ref="H3:J3"/>
    <mergeCell ref="K3:L4"/>
    <mergeCell ref="B62:D62"/>
    <mergeCell ref="A55:A63"/>
    <mergeCell ref="B56:D56"/>
    <mergeCell ref="B58:D58"/>
    <mergeCell ref="B59:D59"/>
    <mergeCell ref="B61:D61"/>
    <mergeCell ref="A51:A54"/>
    <mergeCell ref="A18:A50"/>
    <mergeCell ref="B49:D49"/>
    <mergeCell ref="B36:D36"/>
    <mergeCell ref="B44:D44"/>
    <mergeCell ref="B30:D30"/>
    <mergeCell ref="M3:M4"/>
    <mergeCell ref="N3:N4"/>
    <mergeCell ref="A6:A17"/>
    <mergeCell ref="B6:F6"/>
    <mergeCell ref="B7:D7"/>
    <mergeCell ref="B8:D8"/>
    <mergeCell ref="B9:D9"/>
    <mergeCell ref="B10:D10"/>
    <mergeCell ref="B11:D11"/>
    <mergeCell ref="B12:D12"/>
    <mergeCell ref="A3:A4"/>
    <mergeCell ref="B3:D4"/>
    <mergeCell ref="E3:F3"/>
    <mergeCell ref="G3:G4"/>
    <mergeCell ref="B13:D13"/>
    <mergeCell ref="B14:D14"/>
    <mergeCell ref="B16:D16"/>
    <mergeCell ref="B17:D17"/>
    <mergeCell ref="B31:D31"/>
    <mergeCell ref="B19:D19"/>
    <mergeCell ref="B20:D20"/>
    <mergeCell ref="B21:D21"/>
    <mergeCell ref="B22:D22"/>
    <mergeCell ref="B23:D23"/>
    <mergeCell ref="B24:D24"/>
    <mergeCell ref="B28:D28"/>
    <mergeCell ref="B25:D25"/>
    <mergeCell ref="B26:D26"/>
    <mergeCell ref="B29:D29"/>
    <mergeCell ref="B60:D60"/>
    <mergeCell ref="B45:D45"/>
    <mergeCell ref="B32:D32"/>
    <mergeCell ref="B34:D34"/>
    <mergeCell ref="B35:D35"/>
    <mergeCell ref="B50:D50"/>
    <mergeCell ref="B46:D46"/>
    <mergeCell ref="B37:D37"/>
    <mergeCell ref="B38:D38"/>
    <mergeCell ref="B39:D39"/>
    <mergeCell ref="B40:D40"/>
    <mergeCell ref="B41:D41"/>
    <mergeCell ref="B42:D42"/>
    <mergeCell ref="B47:D47"/>
  </mergeCell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5</vt:i4>
      </vt:variant>
    </vt:vector>
  </HeadingPairs>
  <TitlesOfParts>
    <vt:vector size="28" baseType="lpstr">
      <vt:lpstr>1-й день</vt:lpstr>
      <vt:lpstr>2-й день</vt:lpstr>
      <vt:lpstr>3-й день</vt:lpstr>
      <vt:lpstr>4-й день</vt:lpstr>
      <vt:lpstr>5-й день</vt:lpstr>
      <vt:lpstr>6-й день</vt:lpstr>
      <vt:lpstr>7-й день</vt:lpstr>
      <vt:lpstr>8-й день</vt:lpstr>
      <vt:lpstr>9-й день</vt:lpstr>
      <vt:lpstr>10-й день</vt:lpstr>
      <vt:lpstr>11-й день</vt:lpstr>
      <vt:lpstr>12-й день</vt:lpstr>
      <vt:lpstr>13-й день</vt:lpstr>
      <vt:lpstr>14-й день</vt:lpstr>
      <vt:lpstr>15-й день</vt:lpstr>
      <vt:lpstr>Салаты</vt:lpstr>
      <vt:lpstr>Супы</vt:lpstr>
      <vt:lpstr>Гарниры</vt:lpstr>
      <vt:lpstr>Вторые</vt:lpstr>
      <vt:lpstr>Выпечка</vt:lpstr>
      <vt:lpstr>Каши</vt:lpstr>
      <vt:lpstr>Напитки</vt:lpstr>
      <vt:lpstr>Бутерброды</vt:lpstr>
      <vt:lpstr>'10-й день'!Область_печати</vt:lpstr>
      <vt:lpstr>'11-й день'!Область_печати</vt:lpstr>
      <vt:lpstr>'1-й день'!Область_печати</vt:lpstr>
      <vt:lpstr>'3-й день'!Область_печати</vt:lpstr>
      <vt:lpstr>'6-й день'!Область_печати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2023-03-27T13:11:07Z</dcterms:modified>
</cp:coreProperties>
</file>